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defaultThemeVersion="124226"/>
  <mc:AlternateContent xmlns:mc="http://schemas.openxmlformats.org/markup-compatibility/2006">
    <mc:Choice Requires="x15">
      <x15ac:absPath xmlns:x15ac="http://schemas.microsoft.com/office/spreadsheetml/2010/11/ac" url="C:\Users\PAGAFX\Documents\concejo de bello\INFORMES WEB-PABLO\"/>
    </mc:Choice>
  </mc:AlternateContent>
  <xr:revisionPtr revIDLastSave="0" documentId="13_ncr:1_{D8495DE1-BFDA-4DF8-98FB-6EC8DFAE6C31}" xr6:coauthVersionLast="46" xr6:coauthVersionMax="46" xr10:uidLastSave="{00000000-0000-0000-0000-000000000000}"/>
  <bookViews>
    <workbookView xWindow="-104" yWindow="-104" windowWidth="22326" windowHeight="12050" firstSheet="4" activeTab="4" xr2:uid="{00000000-000D-0000-FFFF-FFFF00000000}"/>
  </bookViews>
  <sheets>
    <sheet name="Instructivo" sheetId="23" r:id="rId1"/>
    <sheet name="Definiciones" sheetId="22" r:id="rId2"/>
    <sheet name="Ambiente de Control" sheetId="24" r:id="rId3"/>
    <sheet name="Evaluación de riesgos" sheetId="18" r:id="rId4"/>
    <sheet name="Conclusiones" sheetId="26" r:id="rId5"/>
    <sheet name="Hoja1" sheetId="28"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'Evaluación de riesgos'!$C$5:$C$160</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81029"/>
</workbook>
</file>

<file path=xl/calcChain.xml><?xml version="1.0" encoding="utf-8"?>
<calcChain xmlns="http://schemas.openxmlformats.org/spreadsheetml/2006/main">
  <c r="A2" i="23" l="1"/>
  <c r="B24" i="24" l="1"/>
  <c r="B54" i="28"/>
  <c r="B53" i="28"/>
  <c r="B19" i="28"/>
  <c r="K153" i="18"/>
  <c r="L153" i="18" s="1"/>
  <c r="N153" i="18" s="1"/>
  <c r="K145" i="18"/>
  <c r="L145" i="18" s="1"/>
  <c r="N145" i="18" s="1"/>
  <c r="K137" i="18"/>
  <c r="L137" i="18" s="1"/>
  <c r="N137" i="18" s="1"/>
  <c r="K129" i="18"/>
  <c r="L129" i="18" s="1"/>
  <c r="N129" i="18" s="1"/>
  <c r="K121" i="18"/>
  <c r="K110" i="18"/>
  <c r="L110" i="18" s="1"/>
  <c r="N110" i="18" s="1"/>
  <c r="K102" i="18"/>
  <c r="L102" i="18" s="1"/>
  <c r="N102" i="18" s="1"/>
  <c r="K94" i="18"/>
  <c r="L94" i="18" s="1"/>
  <c r="N94" i="18" s="1"/>
  <c r="K86" i="18"/>
  <c r="L86" i="18" s="1"/>
  <c r="N86" i="18" s="1"/>
  <c r="K75" i="18"/>
  <c r="L75" i="18" s="1"/>
  <c r="N75" i="18" s="1"/>
  <c r="K67" i="18"/>
  <c r="L67" i="18" s="1"/>
  <c r="N67" i="18" s="1"/>
  <c r="K59" i="18"/>
  <c r="L59" i="18" s="1"/>
  <c r="N59" i="18" s="1"/>
  <c r="K51" i="18"/>
  <c r="L51" i="18" s="1"/>
  <c r="N51" i="18" s="1"/>
  <c r="K43" i="18"/>
  <c r="L43" i="18" s="1"/>
  <c r="N43" i="18" s="1"/>
  <c r="K32" i="18"/>
  <c r="L32" i="18" s="1"/>
  <c r="N32" i="18" s="1"/>
  <c r="K24" i="18"/>
  <c r="L24" i="18" s="1"/>
  <c r="N24" i="18" s="1"/>
  <c r="K16" i="18"/>
  <c r="L16" i="18" s="1"/>
  <c r="N16" i="18" s="1"/>
  <c r="K228" i="24"/>
  <c r="L228" i="24" s="1"/>
  <c r="N228" i="24" s="1"/>
  <c r="K220" i="24"/>
  <c r="L220" i="24" s="1"/>
  <c r="N220" i="24" s="1"/>
  <c r="K212" i="24"/>
  <c r="L212" i="24" s="1"/>
  <c r="N212" i="24" s="1"/>
  <c r="K204" i="24"/>
  <c r="L204" i="24" s="1"/>
  <c r="N204" i="24" s="1"/>
  <c r="K196" i="24"/>
  <c r="L196" i="24" s="1"/>
  <c r="N196" i="24" s="1"/>
  <c r="K188" i="24"/>
  <c r="L188" i="24" s="1"/>
  <c r="N188" i="24" s="1"/>
  <c r="K177" i="24"/>
  <c r="L177" i="24" s="1"/>
  <c r="N177" i="24" s="1"/>
  <c r="K169" i="24"/>
  <c r="L169" i="24" s="1"/>
  <c r="N169" i="24" s="1"/>
  <c r="K161" i="24"/>
  <c r="L161" i="24" s="1"/>
  <c r="N161" i="24" s="1"/>
  <c r="K153" i="24"/>
  <c r="L153" i="24" s="1"/>
  <c r="N153" i="24" s="1"/>
  <c r="K145" i="24"/>
  <c r="L145" i="24" s="1"/>
  <c r="N145" i="24" s="1"/>
  <c r="K137" i="24"/>
  <c r="L137" i="24" s="1"/>
  <c r="N137" i="24" s="1"/>
  <c r="K129" i="24"/>
  <c r="L129" i="24" s="1"/>
  <c r="N129" i="24" s="1"/>
  <c r="K118" i="24"/>
  <c r="L118" i="24" s="1"/>
  <c r="N118" i="24" s="1"/>
  <c r="K110" i="24"/>
  <c r="L110" i="24" s="1"/>
  <c r="N110" i="24" s="1"/>
  <c r="K102" i="24"/>
  <c r="L102" i="24" s="1"/>
  <c r="N102" i="24" s="1"/>
  <c r="K91" i="24"/>
  <c r="L91" i="24" s="1"/>
  <c r="N91" i="24" s="1"/>
  <c r="K83" i="24"/>
  <c r="L83" i="24" s="1"/>
  <c r="N83" i="24" s="1"/>
  <c r="K75" i="24"/>
  <c r="L75" i="24" s="1"/>
  <c r="N75" i="24" s="1"/>
  <c r="K64" i="24"/>
  <c r="L64" i="24" s="1"/>
  <c r="N64" i="24" s="1"/>
  <c r="K56" i="24"/>
  <c r="L56" i="24" s="1"/>
  <c r="N56" i="24" s="1"/>
  <c r="K48" i="24"/>
  <c r="L48" i="24" s="1"/>
  <c r="N48" i="24" s="1"/>
  <c r="K40" i="24"/>
  <c r="L40" i="24" s="1"/>
  <c r="N40" i="24" s="1"/>
  <c r="K32" i="24"/>
  <c r="L32" i="24" s="1"/>
  <c r="N32" i="24" s="1"/>
  <c r="K24" i="24"/>
  <c r="B6" i="28" l="1"/>
  <c r="B81" i="28" l="1"/>
  <c r="B82" i="28"/>
  <c r="B169" i="24"/>
  <c r="B56" i="24"/>
  <c r="B32" i="24"/>
  <c r="L121" i="18"/>
  <c r="N121" i="18" s="1"/>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B153" i="18"/>
  <c r="B145" i="18"/>
  <c r="B137" i="18"/>
  <c r="B129" i="18"/>
  <c r="B121" i="18"/>
  <c r="B110" i="18"/>
  <c r="B102" i="18"/>
  <c r="B94" i="18"/>
  <c r="B86" i="18"/>
  <c r="B75" i="18"/>
  <c r="B67" i="18"/>
  <c r="B59" i="18"/>
  <c r="B51" i="18"/>
  <c r="B43" i="18"/>
  <c r="B32" i="18"/>
  <c r="B24" i="18"/>
  <c r="B16" i="1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51" i="28" l="1"/>
  <c r="M43" i="28"/>
  <c r="M48" i="28"/>
  <c r="M61" i="28"/>
  <c r="M65" i="28"/>
  <c r="M62" i="28"/>
  <c r="M47" i="28"/>
  <c r="M58" i="28"/>
  <c r="M66" i="28"/>
  <c r="M44" i="28"/>
  <c r="M52" i="28"/>
  <c r="M54" i="28"/>
  <c r="M46"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B228" i="24"/>
  <c r="B220" i="24"/>
  <c r="B212" i="24"/>
  <c r="B204" i="24"/>
  <c r="B196" i="24"/>
  <c r="B188" i="24"/>
  <c r="B177" i="24"/>
  <c r="B161" i="24"/>
  <c r="B153" i="24"/>
  <c r="B145" i="24"/>
  <c r="B137" i="24"/>
  <c r="B129" i="24"/>
  <c r="B118" i="24"/>
  <c r="B110" i="24"/>
  <c r="B102" i="24"/>
  <c r="B91" i="24"/>
  <c r="B83" i="24"/>
  <c r="B75" i="24"/>
  <c r="B64" i="24"/>
  <c r="B48" i="24"/>
  <c r="B40" i="24"/>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5" i="28" l="1"/>
  <c r="M19"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O33" i="26" s="1"/>
  <c r="G29" i="26"/>
  <c r="O29" i="26" s="1"/>
  <c r="E29" i="26"/>
  <c r="G27" i="26"/>
  <c r="O27" i="26" s="1"/>
  <c r="E27" i="26"/>
  <c r="G31" i="26"/>
  <c r="O31" i="26" s="1"/>
  <c r="E31" i="26"/>
  <c r="G26" i="28"/>
  <c r="H6" i="28" s="1"/>
  <c r="N2" i="28" l="1"/>
  <c r="N19" i="28"/>
  <c r="N6" i="28"/>
  <c r="N9" i="28"/>
  <c r="N17" i="28"/>
  <c r="N25" i="28"/>
  <c r="N10" i="28"/>
  <c r="N18" i="28"/>
  <c r="N16" i="28"/>
  <c r="N11" i="28"/>
  <c r="N20" i="28"/>
  <c r="N8" i="28"/>
  <c r="N3" i="28"/>
  <c r="N12" i="28"/>
  <c r="N21" i="28"/>
  <c r="N4" i="28"/>
  <c r="N13" i="28"/>
  <c r="N22" i="28"/>
  <c r="N5" i="28"/>
  <c r="N14" i="28"/>
  <c r="N23" i="28"/>
  <c r="N7" i="28"/>
  <c r="N15" i="28"/>
  <c r="N24"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H28" i="28"/>
  <c r="H34" i="28"/>
  <c r="H27" i="28"/>
  <c r="H11" i="28"/>
  <c r="H81" i="28"/>
  <c r="H10" i="28"/>
  <c r="H74" i="28"/>
  <c r="H36" i="28"/>
  <c r="H20" i="28"/>
  <c r="H80" i="28"/>
  <c r="H17" i="28"/>
  <c r="H60" i="28"/>
  <c r="H61" i="28"/>
  <c r="H52" i="28"/>
  <c r="H12" i="28"/>
  <c r="H13" i="28"/>
  <c r="H7" i="28"/>
  <c r="H63" i="28"/>
  <c r="H58" i="28"/>
  <c r="H69" i="28"/>
  <c r="H43" i="28"/>
  <c r="H59" i="28"/>
  <c r="H4" i="28"/>
  <c r="H50" i="28"/>
  <c r="H44" i="28"/>
  <c r="H5" i="28"/>
  <c r="H75" i="28"/>
  <c r="H56" i="28"/>
  <c r="H54" i="28"/>
  <c r="H72" i="28"/>
  <c r="H66" i="28"/>
  <c r="H14" i="28"/>
  <c r="H8" i="28"/>
  <c r="H51" i="28"/>
  <c r="H24" i="28"/>
  <c r="H78" i="28"/>
  <c r="H25" i="28"/>
  <c r="H35" i="28"/>
  <c r="H2" i="28"/>
  <c r="H29" i="28"/>
  <c r="H62" i="28"/>
  <c r="H22" i="28"/>
  <c r="H38" i="28"/>
  <c r="H70" i="28"/>
  <c r="H79" i="28"/>
  <c r="H76" i="28"/>
  <c r="H30" i="28"/>
  <c r="H31" i="28"/>
  <c r="H42" i="28"/>
  <c r="H82" i="28"/>
  <c r="H40" i="28"/>
  <c r="H26" i="28"/>
  <c r="H37" i="28"/>
  <c r="H48" i="28"/>
  <c r="H39" i="28"/>
  <c r="H64" i="28"/>
  <c r="H65" i="28"/>
  <c r="H68" i="28"/>
  <c r="H71" i="28"/>
  <c r="H9" i="28"/>
  <c r="H18" i="28"/>
  <c r="H55" i="28"/>
  <c r="H23" i="28"/>
  <c r="H47" i="28"/>
  <c r="H45" i="28"/>
  <c r="H16" i="28"/>
  <c r="H57" i="28"/>
  <c r="H19" i="28"/>
  <c r="H77" i="28"/>
  <c r="H46" i="28"/>
  <c r="H21" i="28"/>
  <c r="H73" i="28"/>
  <c r="H49" i="28"/>
  <c r="H67" i="28"/>
  <c r="H41" i="28"/>
  <c r="H3" i="28"/>
  <c r="H53" i="28"/>
  <c r="H32" i="28"/>
  <c r="H33" i="28"/>
  <c r="H15" i="28"/>
  <c r="E25" i="26" l="1"/>
  <c r="G25" i="26"/>
  <c r="M7" i="26" l="1"/>
  <c r="O25" i="26"/>
</calcChain>
</file>

<file path=xl/sharedStrings.xml><?xml version="1.0" encoding="utf-8"?>
<sst xmlns="http://schemas.openxmlformats.org/spreadsheetml/2006/main" count="720" uniqueCount="452">
  <si>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</si>
  <si>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</si>
  <si>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</si>
  <si>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</si>
  <si>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</si>
  <si>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</si>
  <si>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</si>
  <si>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</si>
  <si>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</si>
  <si>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</si>
  <si>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</si>
  <si>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</si>
  <si>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</si>
  <si>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</si>
  <si>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</si>
  <si>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</si>
  <si>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</si>
  <si>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</si>
  <si>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</si>
  <si>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</si>
  <si>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</si>
  <si>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</si>
  <si>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</si>
  <si>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</si>
  <si>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</si>
  <si>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</si>
  <si>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</si>
  <si>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</si>
  <si>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</si>
  <si>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</si>
  <si>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</si>
  <si>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</si>
  <si>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</si>
  <si>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</si>
  <si>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</si>
  <si>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</si>
  <si>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</si>
  <si>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</si>
  <si>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</si>
  <si>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</si>
  <si>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</si>
  <si>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</si>
  <si>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</si>
  <si>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</si>
  <si>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</si>
  <si>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</si>
  <si>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</si>
  <si>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</si>
  <si>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</si>
  <si>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</si>
  <si>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</si>
  <si>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</si>
  <si>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</si>
  <si>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</si>
  <si>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</si>
  <si>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</si>
  <si>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</si>
  <si>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</si>
  <si>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</si>
  <si>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</si>
  <si>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</si>
  <si>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</si>
  <si>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</si>
  <si>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</si>
  <si>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</si>
  <si>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</si>
  <si>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</si>
  <si>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</si>
  <si>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</si>
  <si>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</si>
  <si>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</si>
  <si>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</si>
  <si>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</si>
  <si>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</si>
  <si>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</si>
  <si>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</si>
  <si>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</si>
  <si>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</si>
  <si>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</si>
  <si>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</si>
  <si>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</si>
  <si>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</si>
  <si>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</si>
  <si>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</si>
  <si>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</si>
  <si>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</si>
  <si>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</si>
  <si>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</si>
  <si>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</si>
  <si>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</si>
  <si>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</si>
  <si>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</si>
  <si>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</si>
  <si>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</si>
  <si>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</si>
  <si>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</si>
  <si>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</si>
  <si>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</si>
  <si>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</si>
  <si>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</si>
  <si>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</si>
  <si>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</si>
  <si>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</si>
  <si>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</si>
  <si>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</si>
  <si>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</si>
  <si>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</si>
  <si>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</si>
  <si>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</si>
  <si>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</si>
  <si>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</si>
  <si>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</si>
  <si>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</si>
  <si>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Manuales/Políticas+C21:I31n/Procedimientos/Instructivos u otros desarrollos que den cuente de su aplicación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</si>
  <si>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</si>
  <si>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</si>
  <si>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</si>
  <si>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</si>
  <si>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</si>
  <si>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</si>
  <si>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</si>
  <si>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</si>
  <si>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</si>
  <si>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</si>
  <si>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</si>
  <si>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</si>
  <si>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</si>
  <si>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</si>
  <si>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</si>
  <si>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</si>
  <si>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</si>
  <si>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</si>
  <si>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</si>
  <si>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</si>
  <si>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</si>
  <si>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</si>
  <si>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</si>
  <si>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</si>
  <si>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</si>
  <si>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</si>
  <si>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</si>
  <si>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</si>
  <si>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</si>
  <si>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</si>
  <si>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</si>
  <si>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</si>
  <si>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</si>
  <si>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</si>
  <si>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</si>
  <si>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</si>
  <si>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</si>
  <si>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</si>
  <si>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Dimension de Talento Humano
Politica Gestion Estrategica del Talento Humano
Dimension de Control Interno
Lineas de Defensa</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</si>
  <si>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</si>
  <si>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</si>
  <si>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</si>
  <si>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</si>
  <si>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</si>
  <si>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</si>
  <si>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</si>
  <si>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</si>
  <si>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</si>
  <si>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5.2 La Alta Dirección analiza la información asociada con la generación de reportes financieros.</t>
  </si>
  <si>
    <t xml:space="preserve">
Dimensiòn de Control Interno
Linea de Estrategica</t>
  </si>
  <si>
    <t>5.3 Teniendo en cuenta la información suministrada por la 2a y 3a línea de defensa se toman decisiones a tiempo para garantizar el cumplimiento de las metas y objetivos.</t>
  </si>
  <si>
    <t>Dimensiòn de Control Interno
Lineas de Defensa</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</si>
  <si>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</si>
  <si>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</si>
  <si>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5.5 La entidad aprueba y hace seguimiento al Plan Anual de Auditoría presentado y ejecutado por parte de la Oficina de Control Interno.</t>
  </si>
  <si>
    <t>Dimension Control Interno
Linea Estrategica</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</si>
  <si>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</si>
  <si>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</si>
  <si>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</si>
  <si>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</si>
  <si>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</si>
  <si>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</si>
  <si>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</si>
  <si>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</si>
  <si>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</si>
  <si>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</si>
  <si>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</si>
  <si>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</si>
  <si>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</si>
  <si>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</si>
  <si>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</si>
  <si>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</si>
  <si>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Dimension Control Interno 
Lineas de Defensa</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</si>
  <si>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</si>
  <si>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</si>
  <si>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</si>
  <si>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</si>
  <si>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</si>
  <si>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</si>
  <si>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</si>
  <si>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</si>
  <si>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</si>
  <si>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</si>
  <si>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</si>
  <si>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</si>
  <si>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</si>
  <si>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</si>
  <si>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</si>
  <si>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</si>
  <si>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</si>
  <si>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</si>
  <si>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</si>
  <si>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</si>
  <si>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</si>
  <si>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</si>
  <si>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</si>
  <si>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</si>
  <si>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</si>
  <si>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</si>
  <si>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</si>
  <si>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</si>
  <si>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</si>
  <si>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</si>
  <si>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</si>
  <si>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</si>
  <si>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</si>
  <si>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</si>
  <si>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</si>
  <si>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</si>
  <si>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</si>
  <si>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</si>
  <si>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</si>
  <si>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</si>
  <si>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</si>
  <si>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</si>
  <si>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</si>
  <si>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</si>
  <si>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</si>
  <si>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</si>
  <si>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</si>
  <si>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</si>
  <si>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</si>
  <si>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</si>
  <si>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</si>
  <si>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</si>
  <si>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</si>
  <si>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</si>
  <si>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</si>
  <si>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</si>
  <si>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</si>
  <si>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</si>
  <si>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</si>
  <si>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</si>
  <si>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</si>
  <si>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</si>
  <si>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</si>
  <si>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</si>
  <si>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</si>
  <si>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</si>
  <si>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</si>
  <si>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</si>
  <si>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</si>
  <si>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</si>
  <si>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</si>
  <si>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</si>
  <si>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</si>
  <si>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</si>
  <si>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</si>
  <si>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</si>
  <si>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</si>
  <si>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</si>
  <si>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</si>
  <si>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</si>
  <si>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</si>
  <si>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</si>
  <si>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</si>
  <si>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</si>
  <si>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</si>
  <si>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</si>
  <si>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</si>
  <si>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</si>
  <si>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</si>
  <si>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</si>
  <si>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</si>
  <si>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</si>
  <si>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</si>
  <si>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</si>
  <si>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</si>
  <si>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</si>
  <si>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</si>
  <si>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</si>
  <si>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</si>
  <si>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</si>
  <si>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</si>
  <si>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</si>
  <si>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</si>
  <si>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</si>
  <si>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</si>
  <si>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</si>
  <si>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</si>
  <si>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</si>
  <si>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</si>
  <si>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</si>
  <si>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</si>
  <si>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</si>
  <si>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</si>
  <si>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</si>
  <si>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</si>
  <si>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</si>
  <si>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</si>
  <si>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</si>
  <si>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</si>
  <si>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</si>
  <si>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</si>
  <si>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</si>
  <si>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</si>
  <si>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</si>
  <si>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</si>
  <si>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</si>
  <si>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</si>
  <si>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</si>
  <si>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</si>
  <si>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</si>
  <si>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</si>
  <si>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</si>
  <si>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</si>
  <si>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</si>
  <si>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</si>
  <si>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</si>
  <si>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</si>
  <si>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</si>
  <si>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</si>
  <si>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</si>
  <si>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</si>
  <si>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</si>
  <si>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</si>
  <si>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</si>
  <si>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</si>
  <si>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</si>
  <si>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</si>
  <si>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</si>
  <si>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</si>
  <si>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</si>
  <si>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</si>
  <si>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</si>
  <si>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</si>
  <si>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</si>
  <si>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</si>
  <si>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Se realizó talleres de interiorización de los valores con los funcionarios donde cada funcionario en reunión primaria socializa un valor.</t>
  </si>
  <si>
    <t xml:space="preserve">El Concejo Municipal en su contexto general tiene establecido un modelo de procesos, el cual trata de inegrar las competencias que rigen el conjunto de planes, programas y proyectos necesarios para el cumpliiento de la misión institucional.  El talento humano y las diferentes medidas adoptadas para la transparencia  y acceso a la información, garantizan el buen manejo de los recursos y el cumplimiento de los objetivos. </t>
  </si>
  <si>
    <t>La Entidad tiene establecido en su Sistema de Control Interno una asignación de responsabilidades adaptada al modelo de las tres líneas de defensa. Descritas estas en diversos lineamientos de la Entidadal, dentro de los que se encuentra, la Política de administración del riesgo</t>
  </si>
  <si>
    <t>El Sistema de Control Interno del  Concejo Municipal no es efectivo, debido a que algunos de sus componentes no se encuentran debidamente articulados, lo cual permite que las actividades y operaciones se no desarrollen conforme las Políticas, normas, metas, objetivos, y demás lineamientos dados por la Alta Dirección, y de esta manera asegurar el funcionamiento del Sistema Estándar de Control Interno. se requiere una  gestión interna y externa transparente, enfocada a la satisfacción de las necesidades de la ciudadanía y contribuyendo al fortalecimiento de la gestión Publica.</t>
  </si>
  <si>
    <t>La entidad viene asegurando desde la Alta Dirección las condiciones de ambiente de control para fortalecer el Sistema de Control Interno.    Respecto a las responsabilidades de los servidores en relación con el desarrollo de lcontrol interno, se recomienda el fortalecimiento de las actividades y puntos de control establecidos en procedimientos de la entidad.</t>
  </si>
  <si>
    <t>La entidad requiere una adecuada administración y gestión de los Sistemas de administración del riesgo.</t>
  </si>
  <si>
    <t>Resultado de la evaluación de este componente, se identificaron aspectos de mejora  que se consolidaran en el segundo semestre.</t>
  </si>
  <si>
    <r>
      <rPr>
        <sz val="12"/>
        <color theme="1"/>
        <rFont val="Arial"/>
        <family val="2"/>
      </rPr>
      <t xml:space="preserve">La entidad en lo referido alcomponente de "información y comunicación" tiene definido sistemas de información y comunicación internas y externas operando de manera </t>
    </r>
    <r>
      <rPr>
        <sz val="10"/>
        <color theme="1"/>
        <rFont val="Arial"/>
        <family val="2"/>
      </rPr>
      <t>efectiva.</t>
    </r>
  </si>
  <si>
    <r>
      <rPr>
        <sz val="12"/>
        <color theme="1"/>
        <rFont val="Arial"/>
        <family val="2"/>
      </rPr>
      <t xml:space="preserve">La entidad viene aplicando las herramientas definidas para el monitoreo sobre todos lo procesos del sistema de Contol Interno, sobre los planes, programas y proyectos y las </t>
    </r>
    <r>
      <rPr>
        <sz val="10"/>
        <color theme="1"/>
        <rFont val="Arial"/>
        <family val="2"/>
      </rPr>
      <t>acciones de planes de mejoramiento de la entidad.</t>
    </r>
  </si>
  <si>
    <t>CONCEJO MUNICIPIO DE BELLO</t>
  </si>
  <si>
    <t>N/A ES PRIMERA EVALUACIÓN BAJO ESTA METODOLOGÍA</t>
  </si>
  <si>
    <t>Se implementó y se socializó el Código de Integridad acorde con el esquema definido de 5 valores con todoas los servidores y contratistas de la entidad. Se adoptó mediante resolución 019 de marzo 12 de 2019</t>
  </si>
  <si>
    <t>Resolución N° 19 de marzo 12 de 2019.</t>
  </si>
  <si>
    <t>Se socializa en jornadas de inducción y reinduccción</t>
  </si>
  <si>
    <t>Reglamento interno de trabajo de marzo 12 de 2019</t>
  </si>
  <si>
    <t>Resolución 021 de marzo 12 de 2019</t>
  </si>
  <si>
    <t>Comité de Gestion y desempeño</t>
  </si>
  <si>
    <t>En los seguimientos realizados por la OCI,no se evidencian conflictos</t>
  </si>
  <si>
    <t>En comité técnico se trazan politicas y acciones de prevención. Cumplimiento de la Ley 712</t>
  </si>
  <si>
    <t>Informe semestral de seguimiento a la Ley 1712 de 2014.</t>
  </si>
  <si>
    <t>Informe cuatrimestral al mapa de riesgos  de corrupción y atención al ciudadano</t>
  </si>
  <si>
    <t>Plan anticorrupción y atencion al ciudadao</t>
  </si>
  <si>
    <t>informe cuatrimestral al Plan anticorrupción y atencion al ciudadano</t>
  </si>
  <si>
    <t xml:space="preserve"> Por medio de la Resolución 039 de mayo 5 se conforma y reglamenta el Comité Institucional de Control Interno</t>
  </si>
  <si>
    <t>Resolución 039</t>
  </si>
  <si>
    <t>Informe FURAG 2019</t>
  </si>
  <si>
    <t>Presentación y aprobación del Plan anual de uaditorias</t>
  </si>
  <si>
    <t>auditorias internas retrazadas por la contingencia sanitaria</t>
  </si>
  <si>
    <t>Evaluación de capacitaciones brindadas al personal</t>
  </si>
  <si>
    <t>Jornada de Inducción y reinducción</t>
  </si>
  <si>
    <t>Registros de asistencia actividades de inducciòn</t>
  </si>
  <si>
    <t>Registros de asistencia actividades de indicciòn</t>
  </si>
  <si>
    <t xml:space="preserve">Se realiza mediante el informe de Gestión por Dependencias, las auditorías internas de calidad, de Ley, especiales y auditorías externas de lo cual se derivan Planes de Mejora a los que la OCI hace su respectivo seguimiento </t>
  </si>
  <si>
    <t>Informe de gestión por dependencias</t>
  </si>
  <si>
    <t xml:space="preserve">Se realiza seguimiento al Plan de mejoramiento institucional </t>
  </si>
  <si>
    <t>Se socializa en comité de Institucional de Control Interno</t>
  </si>
  <si>
    <t>Actas de reunion</t>
  </si>
  <si>
    <t>evalaucion de gestión</t>
  </si>
  <si>
    <t xml:space="preserve">Inducción general, Plan de entrenamiento en puesto de trabajo, refuerzo en la inducción de ser necesario. </t>
  </si>
  <si>
    <t>Evalaución Plan de Acción</t>
  </si>
  <si>
    <t>Programa de inducción y reinducción</t>
  </si>
  <si>
    <t>Resolución 014 del 28 de enero de 2020</t>
  </si>
  <si>
    <t>Programa de reinducción</t>
  </si>
  <si>
    <t>Evaluación Plan de acción por dependencias</t>
  </si>
  <si>
    <t xml:space="preserve">No se cuenta actualmente con una política clara establecida al respecto </t>
  </si>
  <si>
    <t>Desde la OCI no se evidencia la existencia de una politica clara y comunicada al respecto</t>
  </si>
  <si>
    <t>En el reglamento interno de trabajo de la entidad, se encuentra el procedimiento para vinculación y desvinculación de personal.</t>
  </si>
  <si>
    <t>Reglamento interno de trabajo</t>
  </si>
  <si>
    <t>reglamento interno de trabajo</t>
  </si>
  <si>
    <t>No queda evidencia</t>
  </si>
  <si>
    <t xml:space="preserve">Formato de satisfacción y evalaución de los servicios prestados </t>
  </si>
  <si>
    <t>No queda evidencia de satisfacción de servicios prestados</t>
  </si>
  <si>
    <t>Informes de PQRSD</t>
  </si>
  <si>
    <t>Informes semestrales</t>
  </si>
  <si>
    <t xml:space="preserve">Informe semestral de seguimiento a la Ley 1712 de 2014.
</t>
  </si>
  <si>
    <t>La OCI, presenta informes de seguimiento, tales como informe de austeridad, informe de PQRSD, entre otros, auditorias internas.</t>
  </si>
  <si>
    <t>Programa anual de Auditorias 2020</t>
  </si>
  <si>
    <t>Seguimiento a la Austeridad en el Gasto</t>
  </si>
  <si>
    <t>Aprobado el programa anual de Auditorias 2020 por parte del comité de coordinación de Control Interno.</t>
  </si>
  <si>
    <t>Con las auditorías internas, informes de Ley, la OCI presenta la información oportuna que contiene hallazgos, recomendaciones y alertas tempranas, con el fin de facilitar la toma de decisiones oportunas y adecuadas por parte de la alta dirección.</t>
  </si>
  <si>
    <t xml:space="preserve">Informes de Ley </t>
  </si>
  <si>
    <t>Informes emitidos por la Oficina de Control Interno y publicados en la página web del Concejo Municipal de Bello.</t>
  </si>
  <si>
    <t>Se analiza y se evalua el impacto de los informes presentados por la OCI en Comitè de Coordinaciòn de Control Interno.</t>
  </si>
  <si>
    <t>Acta comitè Institcuional de Coordinaciòn de Control Interno del 20 de enero de 2020,</t>
  </si>
  <si>
    <t>Acta comitè Institcuional de Coordinaciòn de Control Interno.</t>
  </si>
  <si>
    <t xml:space="preserve">Segumiento a los planes de mejora y mapa de Riesgos Institucional </t>
  </si>
  <si>
    <t xml:space="preserve">Se aprueba el Plan Anual de Auditorias en comitè Institcuional de Coordinaciòn de Control Interno el 5 de mayo de 2020 se le hacen algunos ajustes derivados de la revisiòn de la norma aplicable en la OCI y de la contingencia de la COVID 19 se hace necesaria la modificaciòn del plan inicial en Comitè de Coordinaciòn de Control Interno  </t>
  </si>
  <si>
    <t>Acta comitè Institcuional de Coordinaciòn de Control Interno</t>
  </si>
  <si>
    <t xml:space="preserve">Cunplimiento en la ejecuciòn del Plan Anual de Auditoria, </t>
  </si>
  <si>
    <t>Plan estratégico 2020-2023    Pan de Acción institucional</t>
  </si>
  <si>
    <t>Resolución 06 de enero 15 de  2020</t>
  </si>
  <si>
    <t>Resolución 07 de 2020</t>
  </si>
  <si>
    <t>El plan de acción de la entidad desarrolla el plan estrategico de conformidad con los objetivos estrategicos y al mismo se le hace seguimiento.</t>
  </si>
  <si>
    <t>No todos los  procesos  tienen su caracterizacion y se definen sus objetivos, alcance, entradas, normograma, y recursos necesarios.</t>
  </si>
  <si>
    <t>Mapa de procesos</t>
  </si>
  <si>
    <t>El mapa de proceso se encuentra desactualñizado</t>
  </si>
  <si>
    <t>Anualmente se efectua revision por la direccion y periodicamente se realizan seguimientos.</t>
  </si>
  <si>
    <t>Actas comité de Gestión y desempeño</t>
  </si>
  <si>
    <t xml:space="preserve">La OCI participa activamente de ambas instancias, y tambien realiza los respectivos seguimientos generando de las mismas, Planes de Mejoramiento Institucional. </t>
  </si>
  <si>
    <t>La politica de la gestion del riesgo, en cuanto a sus lineamientos, tiene un alcance para toda la entidad</t>
  </si>
  <si>
    <t>Resolución 07 de  enero 21 de 2019</t>
  </si>
  <si>
    <t xml:space="preserve">Se realiza evaluación cuatrimestral </t>
  </si>
  <si>
    <t xml:space="preserve">La Política de Gestión de Riesgos y el Mapa de Riesgos de, no no fue ajustada en el 2020 </t>
  </si>
  <si>
    <t>La Oficina de Control Interno realiza seguimiento cuatrimestral emitiendo el informe de seguimiento al Plan Anticorrupción y Mapa de Riesgos.</t>
  </si>
  <si>
    <t xml:space="preserve"> El informe es socializado y analizado en comitè de Coordinaciòn de Control Interno. </t>
  </si>
  <si>
    <t>Los mapas de riesgos No se monitorean cada cuatro meses.</t>
  </si>
  <si>
    <t>No hay monitoreo a los maps de riesgos</t>
  </si>
  <si>
    <t>En la metodologia aplicada para la gestion del riesgo en la entidad se considera anallisis de contexto interno y externo</t>
  </si>
  <si>
    <t>En la metodologia aplicada para la gestion del riesgo en la entidad se considera el enterono interno y externo</t>
  </si>
  <si>
    <t xml:space="preserve">Seguimiento y evaluación cuatrimestral al mapa de riesgos y Plan Anticorrupción por parte de la OCI, emitiendo informe final </t>
  </si>
  <si>
    <t>Se actualiza el mapa de riesgos mediante resolución 007 de enero 21 de 2019</t>
  </si>
  <si>
    <t>Resolución 007 de enero 21 de2019</t>
  </si>
  <si>
    <t>Revisión cuatrimestral del Plan anticorrupción y el  mapa de riesgos</t>
  </si>
  <si>
    <t>informe cuatrimestral de seguimiento al Mapa de Riesgos.</t>
  </si>
  <si>
    <t xml:space="preserve">Seguimiento y revisión cuatrimestral del mapa de riesgos por parte de la OCI, emitiendo informe final </t>
  </si>
  <si>
    <t>En las diferentes reuniones de comité de Gestión y desempeño se comenta de la falta de controles en algunos proceso para que se tomen acciones correctivas.</t>
  </si>
  <si>
    <t>Seguimiento al Plan de Mejoramiento Institucional</t>
  </si>
  <si>
    <t>En las diferentes reuniones de comité detectan  afectaciones  en la adecuada y oportuna  prestación del servicio debido a los diferentes procesos, que afectan el logro de los objetivos institucionales, de lo cual se hizo un análisis para tomar los correctivos correspondientes.</t>
  </si>
  <si>
    <t>Actas de Comité</t>
  </si>
  <si>
    <t>Se presentan informes y evaluaciones por parte de la oficna de Control Interno</t>
  </si>
  <si>
    <t>En la vigencia 2020, no se hizo ajustes al mapa de riesgos de la entidad</t>
  </si>
  <si>
    <t>No se ajusto mapa de riesgos en esta vigencia</t>
  </si>
  <si>
    <t>Se detectan fallas en los controles , los cuales se analizan en reunion de comité</t>
  </si>
  <si>
    <t>Actas de comité</t>
  </si>
  <si>
    <t>Monitoreo cuatrimestral al mapa de riesgos</t>
  </si>
  <si>
    <t>No se ha implementado SGC.</t>
  </si>
  <si>
    <t>No se ha implementado totalmente</t>
  </si>
  <si>
    <t>No se tiene establecido un Plan anual de capacitaciòn. Cada ves que termina una capcitación no se realiza encuesta de satisfacción</t>
  </si>
  <si>
    <t>No hay monitoreo a los mapas de riesgos.</t>
  </si>
  <si>
    <t>SEGUNDO SEMESTRE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</si>
</sst>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
    <numFmt numFmtId="166" formatCode="0.0000"/>
  </numFmts>
  <fonts count="53" x14ac:knownFonts="1">
    <font>
      <sz val="10"/>
      <color theme="1"/>
      <name val="Arial"/>
      <family val="2"/>
    </font>
    <font>
      <b/>
      <sz val="10"/>
      <color theme="1"/>
      <name val="Arial"/>
      <family val="2"/>
    </font>
    <font>
      <b/>
      <sz val="10"/>
      <color indexed="18"/>
      <name val="Arial"/>
      <family val="2"/>
    </font>
    <font>
      <u/>
      <sz val="10"/>
      <color theme="10"/>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sz val="10"/>
      <name val="Arial Narrow"/>
      <family val="2"/>
    </font>
    <font>
      <b/>
      <sz val="14"/>
      <name val="Arial Narrow"/>
      <family val="2"/>
    </font>
    <font>
      <b/>
      <u/>
      <sz val="11"/>
      <name val="Arial Narrow"/>
      <family val="2"/>
    </font>
    <font>
      <b/>
      <sz val="10"/>
      <name val="Arial Narrow"/>
      <family val="2"/>
    </font>
    <font>
      <b/>
      <sz val="11"/>
      <name val="Arial Narrow"/>
      <family val="2"/>
    </font>
    <font>
      <b/>
      <sz val="9"/>
      <name val="Arial Narrow"/>
      <family val="2"/>
    </font>
    <font>
      <b/>
      <i/>
      <u/>
      <sz val="9"/>
      <name val="Arial Narrow"/>
      <family val="2"/>
    </font>
    <font>
      <sz val="9"/>
      <name val="Arial Narrow"/>
      <family val="2"/>
    </font>
    <font>
      <sz val="11"/>
      <name val="Arial Narrow"/>
      <family val="2"/>
    </font>
    <font>
      <sz val="12"/>
      <color theme="1" tint="0.34998626667073579"/>
      <name val="Arial Narrow"/>
      <family val="2"/>
    </font>
    <font>
      <sz val="11"/>
      <color theme="1"/>
      <name val="Arial Narrow"/>
      <family val="2"/>
    </font>
    <font>
      <b/>
      <sz val="11"/>
      <color theme="1"/>
      <name val="Arial Narrow"/>
      <family val="2"/>
    </font>
    <font>
      <u/>
      <sz val="11"/>
      <color theme="10"/>
      <name val="Arial Narrow"/>
      <family val="2"/>
    </font>
    <font>
      <b/>
      <sz val="11"/>
      <color theme="0"/>
      <name val="Arial Narrow"/>
      <family val="2"/>
    </font>
    <font>
      <sz val="11"/>
      <color theme="0"/>
      <name val="Arial Narrow"/>
      <family val="2"/>
    </font>
    <font>
      <b/>
      <u/>
      <sz val="11"/>
      <color theme="0"/>
      <name val="Arial Narrow"/>
      <family val="2"/>
    </font>
    <font>
      <i/>
      <sz val="11"/>
      <color theme="0"/>
      <name val="Arial Narrow"/>
      <family val="2"/>
    </font>
    <font>
      <b/>
      <sz val="11"/>
      <color theme="1" tint="0.249977111117893"/>
      <name val="Arial Narrow"/>
      <family val="2"/>
    </font>
    <font>
      <b/>
      <sz val="10"/>
      <color theme="1"/>
      <name val="Arial Narrow"/>
      <family val="2"/>
    </font>
    <font>
      <sz val="10"/>
      <color theme="1"/>
      <name val="Arial Narrow"/>
      <family val="2"/>
    </font>
    <font>
      <sz val="10"/>
      <color rgb="FFFF0000"/>
      <name val="Arial"/>
      <family val="2"/>
    </font>
    <font>
      <sz val="10"/>
      <color rgb="FFFF0000"/>
      <name val="Arial Narrow"/>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12"/>
      <name val="Arial Narrow"/>
      <family val="2"/>
    </font>
    <font>
      <b/>
      <sz val="16"/>
      <name val="Arial Narrow"/>
      <family val="2"/>
    </font>
    <font>
      <b/>
      <sz val="20"/>
      <color theme="0"/>
      <name val="Arial Narrow"/>
      <family val="2"/>
    </font>
    <font>
      <b/>
      <sz val="14"/>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11"/>
      <color rgb="FFFF0000"/>
      <name val="Arial Narrow"/>
      <family val="2"/>
    </font>
    <font>
      <b/>
      <sz val="11"/>
      <color rgb="FFFF0000"/>
      <name val="Arial Narrow"/>
      <family val="2"/>
    </font>
    <font>
      <sz val="25"/>
      <color theme="1"/>
      <name val="Arial"/>
      <family val="2"/>
    </font>
    <font>
      <sz val="12"/>
      <color theme="1"/>
      <name val="Arial"/>
      <family val="2"/>
    </font>
    <font>
      <sz val="12"/>
      <name val="Arial"/>
      <family val="2"/>
    </font>
    <font>
      <b/>
      <sz val="12"/>
      <color theme="1"/>
      <name val="Arial"/>
      <family val="2"/>
    </font>
    <font>
      <b/>
      <sz val="12"/>
      <color theme="1"/>
      <name val="Arial Narrow"/>
      <family val="2"/>
    </font>
  </fonts>
  <fills count="1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lightTrellis">
        <fgColor theme="0" tint="-0.14996795556505021"/>
        <bgColor theme="0"/>
      </patternFill>
    </fill>
    <fill>
      <patternFill patternType="solid">
        <fgColor theme="4" tint="0.7999816888943144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4" tint="-0.249977111117893"/>
        <bgColor indexed="64"/>
      </patternFill>
    </fill>
    <fill>
      <patternFill patternType="solid">
        <fgColor theme="2" tint="-0.249977111117893"/>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style="thin">
        <color theme="0"/>
      </right>
      <top style="double">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double">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ashed">
        <color indexed="64"/>
      </top>
      <bottom/>
      <diagonal/>
    </border>
    <border>
      <left style="hair">
        <color indexed="64"/>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bottom style="hair">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6">
    <xf numFmtId="0" fontId="0" fillId="0" borderId="0"/>
    <xf numFmtId="0" fontId="2" fillId="4" borderId="0"/>
    <xf numFmtId="0" fontId="3" fillId="0" borderId="0" applyNumberFormat="0" applyFill="0" applyBorder="0" applyAlignment="0" applyProtection="0">
      <alignment vertical="top"/>
      <protection locked="0"/>
    </xf>
    <xf numFmtId="0" fontId="8" fillId="0" borderId="0"/>
    <xf numFmtId="0" fontId="4" fillId="0" borderId="0"/>
    <xf numFmtId="0" fontId="10" fillId="0" borderId="0"/>
  </cellStyleXfs>
  <cellXfs count="405">
    <xf numFmtId="0" fontId="0" fillId="0" borderId="0" xfId="0"/>
    <xf numFmtId="0" fontId="6" fillId="0" borderId="0" xfId="0" applyFont="1" applyFill="1" applyBorder="1" applyAlignment="1">
      <alignment vertical="center"/>
    </xf>
    <xf numFmtId="0" fontId="7" fillId="0" borderId="0" xfId="0" applyFont="1" applyFill="1" applyBorder="1" applyAlignment="1">
      <alignment horizontal="center" vertical="center" wrapText="1"/>
    </xf>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left"/>
    </xf>
    <xf numFmtId="0" fontId="11" fillId="0" borderId="0" xfId="4" applyFont="1" applyProtection="1"/>
    <xf numFmtId="0" fontId="11" fillId="0" borderId="29" xfId="4" applyFont="1" applyBorder="1" applyProtection="1"/>
    <xf numFmtId="0" fontId="14" fillId="0" borderId="0" xfId="4" applyFont="1" applyBorder="1" applyAlignment="1" applyProtection="1">
      <alignment horizontal="left" vertical="center" wrapText="1"/>
    </xf>
    <xf numFmtId="0" fontId="11" fillId="0" borderId="0" xfId="4" applyFont="1" applyBorder="1" applyAlignment="1" applyProtection="1">
      <alignment horizontal="left" vertical="center" wrapText="1"/>
    </xf>
    <xf numFmtId="0" fontId="11" fillId="0" borderId="0" xfId="4" quotePrefix="1" applyFont="1" applyFill="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top" wrapText="1"/>
    </xf>
    <xf numFmtId="0" fontId="16" fillId="0" borderId="0" xfId="5" applyFont="1" applyFill="1" applyBorder="1" applyAlignment="1" applyProtection="1">
      <alignment horizontal="left" vertical="top" wrapText="1" readingOrder="1"/>
    </xf>
    <xf numFmtId="0" fontId="21" fillId="2" borderId="0" xfId="0" applyFont="1" applyFill="1"/>
    <xf numFmtId="1" fontId="21" fillId="2" borderId="0" xfId="0" applyNumberFormat="1" applyFont="1" applyFill="1" applyBorder="1" applyAlignment="1">
      <alignment horizontal="center" vertical="center"/>
    </xf>
    <xf numFmtId="0" fontId="21" fillId="2" borderId="0" xfId="0" applyFont="1" applyFill="1" applyBorder="1" applyAlignment="1">
      <alignment horizontal="justify" vertical="center" wrapText="1"/>
    </xf>
    <xf numFmtId="0" fontId="21" fillId="2" borderId="0" xfId="0" applyFont="1" applyFill="1" applyBorder="1"/>
    <xf numFmtId="0" fontId="16" fillId="2" borderId="12" xfId="0" applyFont="1" applyFill="1" applyBorder="1" applyAlignment="1" applyProtection="1">
      <alignment vertical="center"/>
    </xf>
    <xf numFmtId="0" fontId="23" fillId="2" borderId="0" xfId="2" applyFont="1" applyFill="1" applyAlignment="1" applyProtection="1">
      <alignment horizontal="center" vertical="center"/>
    </xf>
    <xf numFmtId="0" fontId="24" fillId="0" borderId="0" xfId="0" applyFont="1" applyFill="1" applyAlignment="1" applyProtection="1">
      <alignment vertical="center" wrapText="1"/>
      <protection locked="0"/>
    </xf>
    <xf numFmtId="0" fontId="21" fillId="0" borderId="0" xfId="0" applyFont="1"/>
    <xf numFmtId="0" fontId="21" fillId="0" borderId="10"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0" xfId="0" applyFont="1" applyAlignment="1">
      <alignment vertical="center"/>
    </xf>
    <xf numFmtId="0" fontId="28" fillId="11" borderId="27" xfId="0" applyFont="1" applyFill="1" applyBorder="1" applyAlignment="1">
      <alignment horizontal="center" vertical="center" wrapText="1"/>
    </xf>
    <xf numFmtId="0" fontId="28" fillId="11" borderId="28" xfId="0" applyFont="1" applyFill="1" applyBorder="1" applyAlignment="1">
      <alignment horizontal="center" vertical="center" wrapText="1"/>
    </xf>
    <xf numFmtId="0" fontId="0" fillId="2" borderId="51" xfId="0" applyFill="1" applyBorder="1"/>
    <xf numFmtId="0" fontId="0" fillId="2" borderId="52" xfId="0" applyFill="1" applyBorder="1"/>
    <xf numFmtId="0" fontId="0" fillId="2" borderId="53" xfId="0" applyFill="1" applyBorder="1"/>
    <xf numFmtId="0" fontId="0" fillId="2" borderId="54" xfId="0" applyFill="1" applyBorder="1"/>
    <xf numFmtId="0" fontId="0" fillId="2" borderId="0" xfId="0" applyFill="1" applyBorder="1"/>
    <xf numFmtId="0" fontId="0" fillId="2" borderId="55" xfId="0" applyFill="1" applyBorder="1"/>
    <xf numFmtId="0" fontId="7" fillId="2" borderId="29" xfId="0" applyFont="1" applyFill="1" applyBorder="1" applyAlignment="1">
      <alignment horizontal="center" vertical="center"/>
    </xf>
    <xf numFmtId="0" fontId="7" fillId="2" borderId="55" xfId="0" applyFont="1" applyFill="1" applyBorder="1" applyAlignment="1">
      <alignment vertical="center"/>
    </xf>
    <xf numFmtId="0" fontId="6" fillId="2" borderId="0" xfId="0" applyFont="1" applyFill="1" applyBorder="1" applyAlignment="1">
      <alignment vertical="center"/>
    </xf>
    <xf numFmtId="0" fontId="7" fillId="2" borderId="0" xfId="0"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left" vertical="center"/>
    </xf>
    <xf numFmtId="0" fontId="5" fillId="2" borderId="0" xfId="0" applyFont="1" applyFill="1" applyBorder="1" applyAlignment="1">
      <alignment vertical="center"/>
    </xf>
    <xf numFmtId="0" fontId="9" fillId="2" borderId="0" xfId="0" applyFont="1" applyFill="1" applyBorder="1"/>
    <xf numFmtId="0" fontId="0" fillId="2" borderId="56" xfId="0" applyFill="1" applyBorder="1"/>
    <xf numFmtId="0" fontId="0" fillId="2" borderId="57" xfId="0" applyFill="1" applyBorder="1"/>
    <xf numFmtId="0" fontId="0" fillId="2" borderId="58" xfId="0" applyFill="1" applyBorder="1"/>
    <xf numFmtId="0" fontId="0" fillId="2" borderId="0" xfId="0" applyFill="1"/>
    <xf numFmtId="0" fontId="1" fillId="2" borderId="0" xfId="0" applyFont="1" applyFill="1" applyAlignment="1">
      <alignment wrapText="1"/>
    </xf>
    <xf numFmtId="0" fontId="18" fillId="2" borderId="12" xfId="0" applyFont="1" applyFill="1" applyBorder="1" applyAlignment="1" applyProtection="1">
      <alignment vertical="center" wrapText="1"/>
    </xf>
    <xf numFmtId="0" fontId="25" fillId="2" borderId="0" xfId="0" applyFont="1" applyFill="1" applyBorder="1"/>
    <xf numFmtId="0" fontId="0" fillId="0" borderId="1" xfId="0" applyBorder="1"/>
    <xf numFmtId="0" fontId="7" fillId="0" borderId="62" xfId="0" applyFont="1" applyFill="1" applyBorder="1" applyAlignment="1">
      <alignment vertical="center"/>
    </xf>
    <xf numFmtId="0" fontId="0" fillId="0" borderId="62" xfId="0" applyBorder="1"/>
    <xf numFmtId="9" fontId="7" fillId="0" borderId="0" xfId="0" applyNumberFormat="1" applyFont="1" applyFill="1" applyBorder="1" applyAlignment="1">
      <alignment vertical="center"/>
    </xf>
    <xf numFmtId="0" fontId="34" fillId="2" borderId="0" xfId="0" applyFont="1" applyFill="1" applyBorder="1" applyAlignment="1">
      <alignment horizontal="center" vertical="center" wrapText="1"/>
    </xf>
    <xf numFmtId="0" fontId="25" fillId="2" borderId="0" xfId="0" applyFont="1" applyFill="1" applyBorder="1" applyAlignment="1">
      <alignment vertical="center"/>
    </xf>
    <xf numFmtId="0" fontId="21" fillId="2" borderId="0" xfId="0" applyFont="1" applyFill="1" applyBorder="1" applyAlignment="1">
      <alignment vertical="center"/>
    </xf>
    <xf numFmtId="0" fontId="34" fillId="2" borderId="0" xfId="0" applyFont="1" applyFill="1" applyBorder="1"/>
    <xf numFmtId="0" fontId="33" fillId="2" borderId="0" xfId="0" applyFont="1" applyFill="1" applyBorder="1" applyAlignment="1">
      <alignment wrapText="1"/>
    </xf>
    <xf numFmtId="49" fontId="0" fillId="2" borderId="0" xfId="0" applyNumberFormat="1" applyFill="1" applyBorder="1" applyAlignment="1">
      <alignment horizontal="left" vertical="top"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69" xfId="0" applyBorder="1"/>
    <xf numFmtId="0" fontId="0" fillId="0" borderId="88" xfId="0" applyBorder="1"/>
    <xf numFmtId="0" fontId="6" fillId="16" borderId="45" xfId="0" applyFont="1" applyFill="1" applyBorder="1" applyAlignment="1">
      <alignment horizontal="center" vertical="center" wrapText="1"/>
    </xf>
    <xf numFmtId="0" fontId="0" fillId="0" borderId="1" xfId="0" applyBorder="1" applyAlignment="1">
      <alignment horizontal="left"/>
    </xf>
    <xf numFmtId="0" fontId="36" fillId="2" borderId="0" xfId="0" applyFont="1" applyFill="1" applyBorder="1" applyAlignment="1">
      <alignment horizontal="center" vertical="center"/>
    </xf>
    <xf numFmtId="0" fontId="35" fillId="2" borderId="0" xfId="0" applyFont="1" applyFill="1" applyBorder="1" applyAlignment="1">
      <alignment horizontal="center" vertical="center"/>
    </xf>
    <xf numFmtId="0" fontId="11" fillId="0" borderId="0" xfId="4" applyFont="1" applyBorder="1" applyAlignment="1" applyProtection="1">
      <alignment vertical="top" wrapText="1"/>
    </xf>
    <xf numFmtId="0" fontId="11" fillId="0" borderId="98" xfId="4" applyFont="1" applyBorder="1" applyProtection="1"/>
    <xf numFmtId="0" fontId="11" fillId="0" borderId="99" xfId="4" applyFont="1" applyBorder="1" applyProtection="1"/>
    <xf numFmtId="0" fontId="11" fillId="0" borderId="100" xfId="4" applyFont="1" applyBorder="1" applyProtection="1"/>
    <xf numFmtId="0" fontId="11" fillId="0" borderId="101" xfId="4" applyFont="1" applyBorder="1" applyProtection="1"/>
    <xf numFmtId="0" fontId="11" fillId="0" borderId="99" xfId="4" applyFont="1" applyBorder="1" applyAlignment="1" applyProtection="1"/>
    <xf numFmtId="0" fontId="11" fillId="0" borderId="98" xfId="4" applyFont="1" applyBorder="1" applyAlignment="1" applyProtection="1">
      <alignment vertical="top" wrapText="1"/>
    </xf>
    <xf numFmtId="0" fontId="11" fillId="0" borderId="99" xfId="4" applyFont="1" applyBorder="1" applyAlignment="1" applyProtection="1">
      <alignment vertical="top" wrapText="1"/>
    </xf>
    <xf numFmtId="0" fontId="11" fillId="0" borderId="102" xfId="4" applyFont="1" applyBorder="1" applyProtection="1"/>
    <xf numFmtId="0" fontId="11" fillId="0" borderId="103" xfId="4" applyFont="1" applyBorder="1" applyProtection="1"/>
    <xf numFmtId="0" fontId="11" fillId="0" borderId="104" xfId="4" applyFont="1" applyBorder="1" applyProtection="1"/>
    <xf numFmtId="0" fontId="11" fillId="0" borderId="0" xfId="4" applyFont="1" applyBorder="1" applyProtection="1"/>
    <xf numFmtId="0" fontId="24" fillId="3" borderId="0" xfId="0" applyFont="1" applyFill="1" applyBorder="1" applyAlignment="1">
      <alignment horizontal="center" vertical="center" wrapText="1"/>
    </xf>
    <xf numFmtId="2" fontId="25" fillId="2" borderId="0" xfId="0" applyNumberFormat="1" applyFont="1" applyFill="1" applyBorder="1"/>
    <xf numFmtId="0" fontId="25" fillId="0" borderId="0" xfId="0" applyFont="1" applyFill="1" applyBorder="1"/>
    <xf numFmtId="2" fontId="25" fillId="0" borderId="0" xfId="0" applyNumberFormat="1" applyFont="1" applyFill="1" applyBorder="1"/>
    <xf numFmtId="0" fontId="19" fillId="0" borderId="13" xfId="0" applyFont="1" applyFill="1" applyBorder="1" applyAlignment="1">
      <alignment horizontal="left" vertical="center" wrapText="1"/>
    </xf>
    <xf numFmtId="0" fontId="22" fillId="0" borderId="8"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38" fillId="15" borderId="1" xfId="3" applyNumberFormat="1" applyFont="1" applyFill="1" applyBorder="1" applyAlignment="1" applyProtection="1">
      <alignment horizontal="center" vertical="center" wrapText="1"/>
      <protection locked="0"/>
    </xf>
    <xf numFmtId="0" fontId="38" fillId="14" borderId="1" xfId="3" applyNumberFormat="1" applyFont="1" applyFill="1" applyBorder="1" applyAlignment="1" applyProtection="1">
      <alignment horizontal="center" vertical="center" wrapText="1"/>
      <protection locked="0"/>
    </xf>
    <xf numFmtId="0" fontId="38" fillId="13" borderId="1" xfId="3" applyNumberFormat="1" applyFont="1" applyFill="1" applyBorder="1" applyAlignment="1" applyProtection="1">
      <alignment horizontal="center" vertical="center" wrapText="1"/>
      <protection locked="0"/>
    </xf>
    <xf numFmtId="0" fontId="38" fillId="12" borderId="1" xfId="3" applyNumberFormat="1" applyFont="1" applyFill="1" applyBorder="1" applyAlignment="1" applyProtection="1">
      <alignment horizontal="center" vertical="center" wrapText="1"/>
      <protection locked="0"/>
    </xf>
    <xf numFmtId="0" fontId="15" fillId="17" borderId="1" xfId="0" applyFont="1" applyFill="1" applyBorder="1" applyAlignment="1">
      <alignment horizontal="center" vertical="center"/>
    </xf>
    <xf numFmtId="0" fontId="19" fillId="17" borderId="1" xfId="0" applyFont="1" applyFill="1" applyBorder="1" applyAlignment="1">
      <alignment horizontal="center" vertical="center"/>
    </xf>
    <xf numFmtId="0" fontId="6" fillId="16" borderId="76"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76"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35" fillId="16" borderId="45" xfId="0" applyFont="1" applyFill="1" applyBorder="1" applyAlignment="1">
      <alignment horizontal="center" vertical="center" wrapText="1"/>
    </xf>
    <xf numFmtId="0" fontId="45" fillId="0" borderId="0" xfId="0" applyFont="1" applyBorder="1" applyAlignment="1">
      <alignment horizontal="center" wrapText="1"/>
    </xf>
    <xf numFmtId="0" fontId="35" fillId="6"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40" fillId="3" borderId="1" xfId="0" applyFont="1" applyFill="1" applyBorder="1" applyAlignment="1">
      <alignment horizontal="center" vertical="center"/>
    </xf>
    <xf numFmtId="2" fontId="46" fillId="2" borderId="0" xfId="0" applyNumberFormat="1" applyFont="1" applyFill="1" applyBorder="1"/>
    <xf numFmtId="2" fontId="46" fillId="0" borderId="0" xfId="0" applyNumberFormat="1" applyFont="1" applyFill="1" applyBorder="1"/>
    <xf numFmtId="0" fontId="46" fillId="2" borderId="0" xfId="0" applyFont="1" applyFill="1"/>
    <xf numFmtId="0" fontId="21" fillId="2" borderId="0" xfId="0" applyFont="1" applyFill="1" applyProtection="1"/>
    <xf numFmtId="1" fontId="21" fillId="2" borderId="0" xfId="0" applyNumberFormat="1" applyFont="1" applyFill="1" applyBorder="1" applyAlignment="1" applyProtection="1">
      <alignment horizontal="center" vertical="center"/>
    </xf>
    <xf numFmtId="0" fontId="21" fillId="2" borderId="0" xfId="0" applyFont="1" applyFill="1" applyBorder="1" applyProtection="1"/>
    <xf numFmtId="0" fontId="22" fillId="2" borderId="84" xfId="0" applyFont="1" applyFill="1" applyBorder="1" applyAlignment="1" applyProtection="1">
      <alignment horizontal="center" vertical="center"/>
      <protection locked="0"/>
    </xf>
    <xf numFmtId="0" fontId="21" fillId="2" borderId="105" xfId="0" applyFont="1" applyFill="1" applyBorder="1" applyAlignment="1" applyProtection="1">
      <alignment horizontal="center" vertical="center" wrapText="1"/>
      <protection locked="0"/>
    </xf>
    <xf numFmtId="0" fontId="22" fillId="2" borderId="12" xfId="0" applyFont="1" applyFill="1" applyBorder="1" applyAlignment="1" applyProtection="1">
      <alignment horizontal="center" vertical="center"/>
      <protection locked="0"/>
    </xf>
    <xf numFmtId="0" fontId="21"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protection locked="0"/>
    </xf>
    <xf numFmtId="0" fontId="22" fillId="2" borderId="87" xfId="0" applyFont="1" applyFill="1" applyBorder="1" applyAlignment="1" applyProtection="1">
      <alignment horizontal="center" vertical="center"/>
      <protection locked="0"/>
    </xf>
    <xf numFmtId="0" fontId="21" fillId="2" borderId="82" xfId="0" applyFont="1" applyFill="1" applyBorder="1" applyAlignment="1" applyProtection="1">
      <alignment horizontal="center" vertical="center"/>
      <protection locked="0"/>
    </xf>
    <xf numFmtId="0" fontId="22" fillId="2" borderId="18"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protection locked="0"/>
    </xf>
    <xf numFmtId="9" fontId="42" fillId="3" borderId="76" xfId="0" applyNumberFormat="1" applyFont="1" applyFill="1" applyBorder="1" applyAlignment="1" applyProtection="1">
      <alignment horizontal="center" vertical="center"/>
      <protection hidden="1"/>
    </xf>
    <xf numFmtId="9" fontId="37" fillId="15" borderId="1" xfId="0" applyNumberFormat="1"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protection hidden="1"/>
    </xf>
    <xf numFmtId="9" fontId="37" fillId="15" borderId="1" xfId="0" applyNumberFormat="1" applyFont="1" applyFill="1" applyBorder="1" applyAlignment="1" applyProtection="1">
      <alignment horizontal="center" vertical="center"/>
      <protection locked="0"/>
    </xf>
    <xf numFmtId="0" fontId="7" fillId="0" borderId="62" xfId="0" applyFont="1" applyFill="1" applyBorder="1" applyAlignment="1" applyProtection="1">
      <alignment horizontal="left" vertical="center"/>
      <protection locked="0"/>
    </xf>
    <xf numFmtId="9" fontId="7" fillId="0" borderId="1" xfId="0" applyNumberFormat="1" applyFont="1" applyFill="1" applyBorder="1" applyAlignment="1" applyProtection="1">
      <alignment horizontal="center" vertical="center"/>
      <protection locked="0"/>
    </xf>
    <xf numFmtId="49" fontId="48" fillId="2" borderId="44" xfId="0" applyNumberFormat="1" applyFont="1" applyFill="1" applyBorder="1" applyAlignment="1" applyProtection="1">
      <alignment horizontal="center" vertical="center" wrapText="1"/>
      <protection locked="0"/>
    </xf>
    <xf numFmtId="0" fontId="15" fillId="0" borderId="0" xfId="3" applyNumberFormat="1" applyFont="1" applyBorder="1" applyAlignment="1" applyProtection="1">
      <alignment vertical="center"/>
      <protection hidden="1"/>
    </xf>
    <xf numFmtId="0" fontId="19" fillId="0" borderId="0" xfId="3" applyFont="1" applyFill="1" applyBorder="1" applyAlignment="1" applyProtection="1">
      <alignment vertical="center" wrapText="1"/>
      <protection hidden="1"/>
    </xf>
    <xf numFmtId="0" fontId="0" fillId="0" borderId="0" xfId="0" applyProtection="1">
      <protection hidden="1"/>
    </xf>
    <xf numFmtId="0" fontId="15" fillId="0" borderId="0" xfId="3" applyNumberFormat="1" applyFont="1" applyBorder="1" applyAlignment="1" applyProtection="1">
      <alignment vertical="center" wrapText="1"/>
      <protection hidden="1"/>
    </xf>
    <xf numFmtId="0" fontId="31" fillId="0" borderId="0" xfId="0" applyFont="1" applyProtection="1">
      <protection hidden="1"/>
    </xf>
    <xf numFmtId="0" fontId="15" fillId="9" borderId="1" xfId="3" applyNumberFormat="1" applyFont="1" applyFill="1" applyBorder="1" applyAlignment="1" applyProtection="1">
      <alignment horizontal="center" vertical="center" wrapText="1"/>
      <protection locked="0"/>
    </xf>
    <xf numFmtId="0" fontId="11" fillId="0" borderId="98" xfId="4" applyFont="1" applyBorder="1" applyAlignment="1" applyProtection="1">
      <alignment horizontal="left" vertical="top"/>
    </xf>
    <xf numFmtId="0" fontId="11" fillId="0" borderId="99" xfId="4" applyFont="1" applyBorder="1" applyAlignment="1" applyProtection="1">
      <alignment horizontal="left" vertical="top"/>
    </xf>
    <xf numFmtId="0" fontId="21" fillId="2" borderId="17"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8" xfId="0" applyFont="1" applyFill="1" applyBorder="1" applyAlignment="1" applyProtection="1">
      <alignment horizontal="center" vertical="center"/>
      <protection locked="0"/>
    </xf>
    <xf numFmtId="0" fontId="15" fillId="17" borderId="1" xfId="0" applyFont="1" applyFill="1" applyBorder="1" applyAlignment="1">
      <alignment horizontal="center" vertical="center" wrapText="1"/>
    </xf>
    <xf numFmtId="0" fontId="21" fillId="2" borderId="0" xfId="0" applyFont="1" applyFill="1" applyBorder="1" applyAlignment="1">
      <alignment horizontal="center"/>
    </xf>
    <xf numFmtId="164" fontId="21" fillId="2" borderId="0" xfId="0" applyNumberFormat="1" applyFont="1" applyFill="1" applyBorder="1" applyAlignment="1">
      <alignment horizontal="center"/>
    </xf>
    <xf numFmtId="0" fontId="24" fillId="3" borderId="23"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49" fillId="0" borderId="88" xfId="0" applyFont="1" applyBorder="1" applyAlignment="1" applyProtection="1">
      <alignment wrapText="1"/>
      <protection locked="0"/>
    </xf>
    <xf numFmtId="0" fontId="50" fillId="0" borderId="88" xfId="0" applyFont="1" applyFill="1" applyBorder="1" applyAlignment="1" applyProtection="1">
      <alignment vertical="center" wrapText="1"/>
      <protection locked="0"/>
    </xf>
    <xf numFmtId="0" fontId="0" fillId="0" borderId="88" xfId="0" applyBorder="1" applyAlignment="1" applyProtection="1">
      <alignment wrapText="1"/>
      <protection locked="0"/>
    </xf>
    <xf numFmtId="0" fontId="0" fillId="0" borderId="89" xfId="0" applyBorder="1" applyAlignment="1" applyProtection="1">
      <alignment wrapText="1"/>
      <protection locked="0"/>
    </xf>
    <xf numFmtId="0" fontId="21" fillId="2" borderId="17"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wrapText="1"/>
      <protection locked="0"/>
    </xf>
    <xf numFmtId="0" fontId="21" fillId="2" borderId="17"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8"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wrapText="1"/>
      <protection locked="0"/>
    </xf>
    <xf numFmtId="0" fontId="11" fillId="0" borderId="98" xfId="4" quotePrefix="1" applyFont="1" applyBorder="1" applyAlignment="1" applyProtection="1">
      <alignment horizontal="left" vertical="top" wrapText="1"/>
    </xf>
    <xf numFmtId="0" fontId="11" fillId="0" borderId="0" xfId="4" quotePrefix="1" applyFont="1" applyBorder="1" applyAlignment="1" applyProtection="1">
      <alignment horizontal="left" vertical="top" wrapText="1"/>
    </xf>
    <xf numFmtId="0" fontId="11" fillId="0" borderId="99" xfId="4" quotePrefix="1" applyFont="1" applyBorder="1" applyAlignment="1" applyProtection="1">
      <alignment horizontal="left" vertical="top" wrapText="1"/>
    </xf>
    <xf numFmtId="0" fontId="16" fillId="11" borderId="94" xfId="4" applyFont="1" applyFill="1" applyBorder="1" applyAlignment="1" applyProtection="1">
      <alignment horizontal="center" vertical="center"/>
    </xf>
    <xf numFmtId="0" fontId="16" fillId="11" borderId="95" xfId="4" applyFont="1" applyFill="1" applyBorder="1" applyAlignment="1" applyProtection="1">
      <alignment horizontal="center" vertical="center"/>
    </xf>
    <xf numFmtId="0" fontId="18" fillId="0" borderId="92" xfId="4" applyFont="1" applyFill="1" applyBorder="1" applyAlignment="1" applyProtection="1">
      <alignment horizontal="left" vertical="top" wrapText="1"/>
    </xf>
    <xf numFmtId="0" fontId="18" fillId="0" borderId="93" xfId="4" applyFont="1" applyFill="1" applyBorder="1" applyAlignment="1" applyProtection="1">
      <alignment horizontal="left" vertical="top" wrapText="1"/>
    </xf>
    <xf numFmtId="0" fontId="18" fillId="0" borderId="90" xfId="0" applyFont="1" applyFill="1" applyBorder="1" applyAlignment="1" applyProtection="1">
      <alignment horizontal="left" vertical="top" wrapText="1"/>
    </xf>
    <xf numFmtId="0" fontId="18" fillId="0" borderId="91" xfId="0" applyFont="1" applyFill="1" applyBorder="1" applyAlignment="1" applyProtection="1">
      <alignment horizontal="left" vertical="top" wrapText="1"/>
    </xf>
    <xf numFmtId="0" fontId="18" fillId="0" borderId="30" xfId="4" applyFont="1" applyFill="1" applyBorder="1" applyAlignment="1" applyProtection="1">
      <alignment horizontal="left" vertical="top" wrapText="1"/>
    </xf>
    <xf numFmtId="0" fontId="18" fillId="0" borderId="37" xfId="4" applyFont="1" applyFill="1" applyBorder="1" applyAlignment="1" applyProtection="1">
      <alignment horizontal="left" vertical="top" wrapText="1"/>
    </xf>
    <xf numFmtId="0" fontId="16" fillId="2" borderId="34"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33" xfId="5" applyFont="1" applyFill="1" applyBorder="1" applyAlignment="1" applyProtection="1">
      <alignment horizontal="left" vertical="top" wrapText="1" readingOrder="1"/>
    </xf>
    <xf numFmtId="0" fontId="16" fillId="2" borderId="9" xfId="5" applyFont="1" applyFill="1" applyBorder="1" applyAlignment="1" applyProtection="1">
      <alignment horizontal="left" vertical="top" wrapText="1" readingOrder="1"/>
    </xf>
    <xf numFmtId="0" fontId="16" fillId="11" borderId="31" xfId="5" applyFont="1" applyFill="1" applyBorder="1" applyAlignment="1" applyProtection="1">
      <alignment horizontal="center" vertical="center" wrapText="1"/>
    </xf>
    <xf numFmtId="0" fontId="16" fillId="11" borderId="32" xfId="5" applyFont="1" applyFill="1" applyBorder="1" applyAlignment="1" applyProtection="1">
      <alignment horizontal="center" vertical="center" wrapText="1"/>
    </xf>
    <xf numFmtId="0" fontId="18" fillId="0" borderId="30" xfId="0" applyFont="1" applyFill="1" applyBorder="1" applyAlignment="1" applyProtection="1">
      <alignment horizontal="left" vertical="center" wrapText="1"/>
    </xf>
    <xf numFmtId="0" fontId="18" fillId="0" borderId="37" xfId="0" applyFont="1" applyFill="1" applyBorder="1" applyAlignment="1" applyProtection="1">
      <alignment horizontal="left" vertical="center" wrapText="1"/>
    </xf>
    <xf numFmtId="0" fontId="18" fillId="0" borderId="1" xfId="3" applyFont="1" applyFill="1" applyBorder="1" applyAlignment="1" applyProtection="1">
      <alignment horizontal="center" vertical="center" wrapText="1"/>
      <protection locked="0"/>
    </xf>
    <xf numFmtId="0" fontId="11" fillId="0" borderId="98" xfId="4" applyFont="1" applyBorder="1" applyAlignment="1" applyProtection="1">
      <alignment horizontal="left" vertical="top"/>
    </xf>
    <xf numFmtId="0" fontId="11" fillId="0" borderId="0" xfId="4" applyFont="1" applyBorder="1" applyAlignment="1" applyProtection="1">
      <alignment horizontal="left" vertical="top"/>
    </xf>
    <xf numFmtId="0" fontId="11" fillId="0" borderId="99" xfId="4" applyFont="1" applyBorder="1" applyAlignment="1" applyProtection="1">
      <alignment horizontal="left" vertical="top"/>
    </xf>
    <xf numFmtId="0" fontId="11" fillId="0" borderId="98" xfId="4" applyFont="1" applyBorder="1" applyAlignment="1" applyProtection="1">
      <alignment horizontal="left" vertical="top" wrapText="1"/>
    </xf>
    <xf numFmtId="0" fontId="11" fillId="0" borderId="0" xfId="4" applyFont="1" applyBorder="1" applyAlignment="1" applyProtection="1">
      <alignment horizontal="left" vertical="top" wrapText="1"/>
    </xf>
    <xf numFmtId="0" fontId="11" fillId="0" borderId="99" xfId="4" applyFont="1" applyBorder="1" applyAlignment="1" applyProtection="1">
      <alignment horizontal="left" vertical="top" wrapText="1"/>
    </xf>
    <xf numFmtId="0" fontId="11" fillId="0" borderId="0" xfId="4" applyFont="1" applyBorder="1" applyAlignment="1" applyProtection="1"/>
    <xf numFmtId="0" fontId="12" fillId="0" borderId="96" xfId="4" applyFont="1" applyBorder="1" applyAlignment="1" applyProtection="1">
      <alignment horizontal="center" vertical="center" wrapText="1"/>
    </xf>
    <xf numFmtId="0" fontId="12" fillId="0" borderId="74" xfId="4" applyFont="1" applyBorder="1" applyAlignment="1" applyProtection="1">
      <alignment horizontal="center" vertical="center" wrapText="1"/>
    </xf>
    <xf numFmtId="0" fontId="12" fillId="0" borderId="97" xfId="4" applyFont="1" applyBorder="1" applyAlignment="1" applyProtection="1">
      <alignment horizontal="center" vertical="center" wrapText="1"/>
    </xf>
    <xf numFmtId="0" fontId="11" fillId="0" borderId="98" xfId="4" quotePrefix="1" applyFont="1" applyBorder="1" applyAlignment="1" applyProtection="1">
      <alignment horizontal="left" vertical="center" wrapText="1"/>
    </xf>
    <xf numFmtId="0" fontId="11" fillId="0" borderId="0" xfId="4" quotePrefix="1" applyFont="1" applyBorder="1" applyAlignment="1" applyProtection="1">
      <alignment horizontal="left" vertical="center" wrapText="1"/>
    </xf>
    <xf numFmtId="0" fontId="11" fillId="0" borderId="99" xfId="4" quotePrefix="1" applyFont="1" applyBorder="1" applyAlignment="1" applyProtection="1">
      <alignment horizontal="left" vertical="center" wrapText="1"/>
    </xf>
    <xf numFmtId="0" fontId="13" fillId="0" borderId="98" xfId="4" quotePrefix="1" applyFont="1" applyBorder="1" applyAlignment="1" applyProtection="1">
      <alignment horizontal="left" vertical="top" wrapText="1"/>
    </xf>
    <xf numFmtId="0" fontId="15" fillId="0" borderId="0" xfId="4" quotePrefix="1" applyFont="1" applyBorder="1" applyAlignment="1" applyProtection="1">
      <alignment horizontal="left" vertical="top" wrapText="1"/>
    </xf>
    <xf numFmtId="0" fontId="15" fillId="0" borderId="99" xfId="4" quotePrefix="1" applyFont="1" applyBorder="1" applyAlignment="1" applyProtection="1">
      <alignment horizontal="left" vertical="top" wrapText="1"/>
    </xf>
    <xf numFmtId="0" fontId="29" fillId="0" borderId="80" xfId="3" applyNumberFormat="1" applyFont="1" applyBorder="1" applyAlignment="1" applyProtection="1">
      <alignment horizontal="center" vertical="center" wrapText="1"/>
      <protection locked="0"/>
    </xf>
    <xf numFmtId="0" fontId="30" fillId="0" borderId="80" xfId="3" applyFont="1" applyFill="1" applyBorder="1" applyAlignment="1" applyProtection="1">
      <alignment horizontal="center" vertical="center" wrapText="1"/>
      <protection locked="0"/>
    </xf>
    <xf numFmtId="0" fontId="16" fillId="2" borderId="59" xfId="4" applyFont="1" applyFill="1" applyBorder="1" applyAlignment="1" applyProtection="1">
      <alignment horizontal="center" vertical="center" textRotation="90"/>
    </xf>
    <xf numFmtId="0" fontId="16" fillId="2" borderId="60" xfId="4" applyFont="1" applyFill="1" applyBorder="1" applyAlignment="1" applyProtection="1">
      <alignment horizontal="center" vertical="center" textRotation="90"/>
    </xf>
    <xf numFmtId="0" fontId="16" fillId="2" borderId="35"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5" fillId="9" borderId="1" xfId="3" applyNumberFormat="1" applyFont="1" applyFill="1" applyBorder="1" applyAlignment="1" applyProtection="1">
      <alignment horizontal="center" vertical="center" wrapText="1"/>
      <protection locked="0"/>
    </xf>
    <xf numFmtId="0" fontId="28" fillId="11" borderId="0" xfId="0" applyFont="1" applyFill="1" applyAlignment="1" applyProtection="1">
      <alignment horizontal="center" vertical="center" wrapText="1"/>
      <protection locked="0"/>
    </xf>
    <xf numFmtId="2" fontId="25" fillId="2" borderId="0" xfId="0" applyNumberFormat="1" applyFont="1" applyFill="1" applyBorder="1" applyAlignment="1" applyProtection="1">
      <alignment horizontal="center" vertical="center" wrapText="1"/>
      <protection hidden="1"/>
    </xf>
    <xf numFmtId="0" fontId="21" fillId="2" borderId="20"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0" fontId="21" fillId="2" borderId="22" xfId="0" applyFont="1" applyFill="1" applyBorder="1" applyAlignment="1" applyProtection="1">
      <alignment horizontal="center" vertical="center"/>
      <protection locked="0"/>
    </xf>
    <xf numFmtId="0" fontId="21" fillId="2" borderId="20" xfId="0" applyFont="1" applyFill="1" applyBorder="1" applyAlignment="1" applyProtection="1">
      <alignment horizontal="center" vertical="center" wrapText="1"/>
      <protection locked="0"/>
    </xf>
    <xf numFmtId="0" fontId="21" fillId="2" borderId="21"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165" fontId="25" fillId="2" borderId="0" xfId="0" applyNumberFormat="1" applyFont="1" applyFill="1" applyBorder="1" applyAlignment="1" applyProtection="1">
      <alignment horizontal="center" vertical="center" wrapText="1"/>
      <protection hidden="1"/>
    </xf>
    <xf numFmtId="166" fontId="25" fillId="2" borderId="0" xfId="0" applyNumberFormat="1" applyFont="1" applyFill="1" applyBorder="1" applyAlignment="1" applyProtection="1">
      <alignment horizontal="center" vertical="center" wrapText="1"/>
      <protection hidden="1"/>
    </xf>
    <xf numFmtId="2" fontId="24" fillId="2" borderId="0" xfId="0" applyNumberFormat="1" applyFont="1" applyFill="1" applyBorder="1" applyAlignment="1" applyProtection="1">
      <alignment horizontal="center" vertical="center" textRotation="90" wrapText="1"/>
      <protection hidden="1"/>
    </xf>
    <xf numFmtId="2" fontId="24" fillId="2" borderId="0" xfId="0" applyNumberFormat="1" applyFont="1" applyFill="1" applyBorder="1" applyAlignment="1">
      <alignment horizontal="center" vertical="center" textRotation="90" wrapText="1"/>
    </xf>
    <xf numFmtId="2" fontId="46" fillId="2" borderId="0" xfId="0" applyNumberFormat="1" applyFont="1" applyFill="1" applyBorder="1" applyAlignment="1">
      <alignment horizontal="center" vertical="center" wrapText="1"/>
    </xf>
    <xf numFmtId="2" fontId="47" fillId="2" borderId="0" xfId="0" applyNumberFormat="1" applyFont="1" applyFill="1" applyBorder="1" applyAlignment="1">
      <alignment horizontal="center" vertical="center" textRotation="90" wrapText="1"/>
    </xf>
    <xf numFmtId="165" fontId="46" fillId="2" borderId="0" xfId="0" applyNumberFormat="1" applyFont="1" applyFill="1" applyBorder="1" applyAlignment="1">
      <alignment horizontal="center" vertical="center" wrapText="1"/>
    </xf>
    <xf numFmtId="166" fontId="46" fillId="2" borderId="0" xfId="0" applyNumberFormat="1" applyFont="1" applyFill="1" applyBorder="1" applyAlignment="1">
      <alignment horizontal="center" vertical="center" wrapText="1"/>
    </xf>
    <xf numFmtId="0" fontId="19" fillId="0" borderId="16"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5" xfId="0" applyFont="1" applyFill="1" applyBorder="1" applyAlignment="1">
      <alignment horizontal="left" vertical="top" wrapText="1"/>
    </xf>
    <xf numFmtId="0" fontId="19" fillId="0" borderId="20" xfId="0" applyFont="1" applyFill="1" applyBorder="1" applyAlignment="1">
      <alignment horizontal="left" vertical="top" wrapText="1"/>
    </xf>
    <xf numFmtId="0" fontId="19" fillId="0" borderId="21" xfId="0" applyFont="1" applyFill="1" applyBorder="1" applyAlignment="1">
      <alignment horizontal="left" vertical="top" wrapText="1"/>
    </xf>
    <xf numFmtId="0" fontId="19" fillId="0" borderId="22" xfId="0" applyFont="1" applyFill="1" applyBorder="1" applyAlignment="1">
      <alignment horizontal="left" vertical="top" wrapText="1"/>
    </xf>
    <xf numFmtId="0" fontId="21" fillId="2" borderId="17"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8" xfId="0" applyFont="1" applyFill="1" applyBorder="1" applyAlignment="1" applyProtection="1">
      <alignment horizontal="center" vertical="center"/>
      <protection locked="0"/>
    </xf>
    <xf numFmtId="0" fontId="21" fillId="2" borderId="85" xfId="0" applyFont="1" applyFill="1" applyBorder="1" applyAlignment="1" applyProtection="1">
      <alignment horizontal="center" vertical="center" wrapText="1"/>
      <protection hidden="1"/>
    </xf>
    <xf numFmtId="0" fontId="21" fillId="2" borderId="81" xfId="0" applyFont="1" applyFill="1" applyBorder="1" applyAlignment="1" applyProtection="1">
      <alignment horizontal="center" vertical="center" wrapText="1"/>
      <protection hidden="1"/>
    </xf>
    <xf numFmtId="0" fontId="21" fillId="2" borderId="86" xfId="0" applyFont="1" applyFill="1" applyBorder="1" applyAlignment="1" applyProtection="1">
      <alignment horizontal="center" vertical="center" wrapText="1"/>
      <protection hidden="1"/>
    </xf>
    <xf numFmtId="0" fontId="21" fillId="2" borderId="2" xfId="0" applyFont="1" applyFill="1" applyBorder="1" applyAlignment="1" applyProtection="1">
      <alignment horizontal="center" vertical="center" wrapText="1"/>
      <protection hidden="1"/>
    </xf>
    <xf numFmtId="0" fontId="21" fillId="2" borderId="23" xfId="0" applyFont="1" applyFill="1" applyBorder="1" applyAlignment="1" applyProtection="1">
      <alignment horizontal="center" vertical="center" wrapText="1"/>
      <protection hidden="1"/>
    </xf>
    <xf numFmtId="0" fontId="21" fillId="2" borderId="24" xfId="0" applyFont="1" applyFill="1" applyBorder="1" applyAlignment="1" applyProtection="1">
      <alignment horizontal="center" vertical="center" wrapText="1"/>
      <protection hidden="1"/>
    </xf>
    <xf numFmtId="0" fontId="21" fillId="0" borderId="16" xfId="0" applyFont="1" applyFill="1" applyBorder="1" applyAlignment="1">
      <alignment horizontal="left" vertical="top" wrapText="1"/>
    </xf>
    <xf numFmtId="0" fontId="21" fillId="0" borderId="14" xfId="0" applyFont="1" applyFill="1" applyBorder="1" applyAlignment="1">
      <alignment horizontal="left" vertical="top" wrapText="1"/>
    </xf>
    <xf numFmtId="0" fontId="21" fillId="0" borderId="15" xfId="0" applyFont="1" applyFill="1" applyBorder="1" applyAlignment="1">
      <alignment horizontal="left" vertical="top" wrapText="1"/>
    </xf>
    <xf numFmtId="0" fontId="21" fillId="2" borderId="63" xfId="0" applyFont="1" applyFill="1" applyBorder="1" applyAlignment="1" applyProtection="1">
      <alignment horizontal="center" vertical="center"/>
      <protection locked="0"/>
    </xf>
    <xf numFmtId="0" fontId="21" fillId="2" borderId="30" xfId="0" applyFont="1" applyFill="1" applyBorder="1" applyAlignment="1" applyProtection="1">
      <alignment horizontal="center" vertical="center"/>
      <protection locked="0"/>
    </xf>
    <xf numFmtId="0" fontId="21" fillId="2" borderId="64" xfId="0" applyFont="1" applyFill="1" applyBorder="1" applyAlignment="1" applyProtection="1">
      <alignment horizontal="center" vertical="center"/>
      <protection locked="0"/>
    </xf>
    <xf numFmtId="0" fontId="25" fillId="6" borderId="6" xfId="0" applyFont="1" applyFill="1" applyBorder="1" applyAlignment="1">
      <alignment horizontal="left" vertical="center" wrapText="1"/>
    </xf>
    <xf numFmtId="0" fontId="25" fillId="6" borderId="7" xfId="0" applyFont="1" applyFill="1" applyBorder="1" applyAlignment="1">
      <alignment horizontal="left" vertical="center" wrapText="1"/>
    </xf>
    <xf numFmtId="0" fontId="24" fillId="6" borderId="2" xfId="0" applyFont="1" applyFill="1" applyBorder="1" applyAlignment="1">
      <alignment horizontal="center" vertical="center" wrapText="1"/>
    </xf>
    <xf numFmtId="0" fontId="24" fillId="6" borderId="23" xfId="0" applyFont="1" applyFill="1" applyBorder="1" applyAlignment="1">
      <alignment horizontal="center" vertical="center" wrapText="1"/>
    </xf>
    <xf numFmtId="0" fontId="24" fillId="6" borderId="24" xfId="0" applyFont="1" applyFill="1" applyBorder="1" applyAlignment="1">
      <alignment horizontal="center" vertical="center" wrapText="1"/>
    </xf>
    <xf numFmtId="0" fontId="24" fillId="6" borderId="1" xfId="0" applyFont="1" applyFill="1" applyBorder="1" applyAlignment="1" applyProtection="1">
      <alignment horizontal="center" vertical="center" textRotation="90" wrapText="1"/>
      <protection locked="0"/>
    </xf>
    <xf numFmtId="0" fontId="24" fillId="6" borderId="2" xfId="0" applyFont="1" applyFill="1" applyBorder="1" applyAlignment="1" applyProtection="1">
      <alignment horizontal="center" vertical="center" textRotation="90" wrapText="1"/>
      <protection locked="0"/>
    </xf>
    <xf numFmtId="0" fontId="24" fillId="6" borderId="1" xfId="0" applyFont="1" applyFill="1" applyBorder="1" applyAlignment="1" applyProtection="1">
      <alignment horizontal="center" vertical="center"/>
      <protection locked="0"/>
    </xf>
    <xf numFmtId="0" fontId="24" fillId="6" borderId="2"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protection hidden="1"/>
    </xf>
    <xf numFmtId="0" fontId="25" fillId="2" borderId="0" xfId="0" applyFont="1" applyFill="1" applyBorder="1" applyAlignment="1" applyProtection="1">
      <alignment horizontal="center" vertical="center" wrapText="1"/>
      <protection hidden="1"/>
    </xf>
    <xf numFmtId="0" fontId="24" fillId="2" borderId="0" xfId="0" applyFont="1" applyFill="1" applyBorder="1" applyAlignment="1" applyProtection="1">
      <alignment horizontal="center" vertical="center" textRotation="90" wrapText="1"/>
      <protection hidden="1"/>
    </xf>
    <xf numFmtId="0" fontId="24" fillId="2" borderId="0" xfId="0" applyFont="1" applyFill="1" applyBorder="1" applyAlignment="1">
      <alignment horizontal="center" vertical="center" textRotation="90" wrapText="1"/>
    </xf>
    <xf numFmtId="0" fontId="21" fillId="0" borderId="16" xfId="0" applyFont="1" applyFill="1" applyBorder="1" applyAlignment="1" applyProtection="1">
      <alignment horizontal="left" vertical="top" wrapText="1"/>
    </xf>
    <xf numFmtId="0" fontId="21" fillId="0" borderId="14" xfId="0" applyFont="1" applyFill="1" applyBorder="1" applyAlignment="1" applyProtection="1">
      <alignment horizontal="left" vertical="top" wrapText="1"/>
    </xf>
    <xf numFmtId="0" fontId="21" fillId="0" borderId="15" xfId="0" applyFont="1" applyFill="1" applyBorder="1" applyAlignment="1" applyProtection="1">
      <alignment horizontal="left" vertical="top" wrapText="1"/>
    </xf>
    <xf numFmtId="0" fontId="19" fillId="6" borderId="6" xfId="0" applyFont="1" applyFill="1" applyBorder="1" applyAlignment="1" applyProtection="1">
      <alignment horizontal="left" vertical="center" wrapText="1"/>
    </xf>
    <xf numFmtId="0" fontId="19" fillId="6" borderId="7" xfId="0" applyFont="1" applyFill="1" applyBorder="1" applyAlignment="1" applyProtection="1">
      <alignment horizontal="left" vertical="center" wrapText="1"/>
    </xf>
    <xf numFmtId="0" fontId="19" fillId="6" borderId="1" xfId="0" applyFont="1" applyFill="1" applyBorder="1" applyAlignment="1" applyProtection="1">
      <alignment horizontal="left" vertical="center" wrapText="1"/>
    </xf>
    <xf numFmtId="0" fontId="19" fillId="6" borderId="2" xfId="0" applyFont="1" applyFill="1" applyBorder="1" applyAlignment="1" applyProtection="1">
      <alignment horizontal="left" vertical="center" wrapText="1"/>
    </xf>
    <xf numFmtId="0" fontId="21" fillId="17" borderId="1" xfId="0" applyFont="1" applyFill="1" applyBorder="1" applyAlignment="1" applyProtection="1">
      <alignment horizontal="left" vertical="top" wrapText="1"/>
    </xf>
    <xf numFmtId="0" fontId="24" fillId="6" borderId="1" xfId="0" applyFont="1" applyFill="1" applyBorder="1" applyAlignment="1" applyProtection="1">
      <alignment horizontal="left" vertical="center" wrapText="1"/>
    </xf>
    <xf numFmtId="0" fontId="24" fillId="6" borderId="2" xfId="0"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25" fillId="6" borderId="2" xfId="0" applyFont="1" applyFill="1" applyBorder="1" applyAlignment="1" applyProtection="1">
      <alignment horizontal="left" vertical="center" wrapText="1"/>
    </xf>
    <xf numFmtId="0" fontId="21" fillId="0" borderId="19" xfId="0" applyFont="1" applyFill="1" applyBorder="1" applyAlignment="1" applyProtection="1">
      <alignment horizontal="left" vertical="top" wrapText="1"/>
    </xf>
    <xf numFmtId="0" fontId="24" fillId="6" borderId="1" xfId="0" applyFont="1" applyFill="1" applyBorder="1" applyAlignment="1">
      <alignment horizontal="center" vertical="center" textRotation="90" wrapText="1"/>
    </xf>
    <xf numFmtId="0" fontId="24" fillId="6" borderId="2" xfId="0" applyFont="1" applyFill="1" applyBorder="1" applyAlignment="1">
      <alignment horizontal="center" vertical="center" textRotation="90" wrapText="1"/>
    </xf>
    <xf numFmtId="0" fontId="15" fillId="17" borderId="1" xfId="0" applyFont="1" applyFill="1" applyBorder="1" applyAlignment="1" applyProtection="1">
      <alignment horizontal="center" vertical="center" wrapText="1"/>
      <protection hidden="1"/>
    </xf>
    <xf numFmtId="0" fontId="21" fillId="2" borderId="71" xfId="0" applyFont="1" applyFill="1" applyBorder="1" applyAlignment="1" applyProtection="1">
      <alignment horizontal="center" vertical="center" wrapText="1"/>
      <protection hidden="1"/>
    </xf>
    <xf numFmtId="0" fontId="21" fillId="2" borderId="13" xfId="0" applyFont="1" applyFill="1" applyBorder="1" applyAlignment="1" applyProtection="1">
      <alignment horizontal="center" vertical="center" wrapText="1"/>
      <protection hidden="1"/>
    </xf>
    <xf numFmtId="0" fontId="21" fillId="2" borderId="72" xfId="0" applyFont="1" applyFill="1" applyBorder="1" applyAlignment="1" applyProtection="1">
      <alignment horizontal="center" vertical="center" wrapText="1"/>
      <protection hidden="1"/>
    </xf>
    <xf numFmtId="0" fontId="24" fillId="6" borderId="1" xfId="0" applyFont="1" applyFill="1" applyBorder="1" applyAlignment="1" applyProtection="1">
      <alignment horizontal="center" vertical="center" textRotation="90" wrapText="1"/>
      <protection hidden="1"/>
    </xf>
    <xf numFmtId="0" fontId="24" fillId="6" borderId="2" xfId="0" applyFont="1" applyFill="1" applyBorder="1" applyAlignment="1" applyProtection="1">
      <alignment horizontal="center" vertical="center" textRotation="90" wrapText="1"/>
      <protection hidden="1"/>
    </xf>
    <xf numFmtId="0" fontId="24" fillId="6" borderId="3" xfId="0" applyFont="1" applyFill="1" applyBorder="1" applyAlignment="1" applyProtection="1">
      <alignment horizontal="center" vertical="center" textRotation="90" wrapText="1"/>
      <protection hidden="1"/>
    </xf>
    <xf numFmtId="0" fontId="21" fillId="2" borderId="3" xfId="0" applyFont="1" applyFill="1" applyBorder="1" applyAlignment="1" applyProtection="1">
      <alignment horizontal="center" vertical="center" wrapText="1"/>
      <protection hidden="1"/>
    </xf>
    <xf numFmtId="0" fontId="21" fillId="2" borderId="0" xfId="0" applyFont="1" applyFill="1" applyBorder="1" applyAlignment="1">
      <alignment horizontal="left" vertical="center" wrapText="1"/>
    </xf>
    <xf numFmtId="0" fontId="21" fillId="2" borderId="0" xfId="0" applyFont="1" applyFill="1" applyBorder="1" applyAlignment="1">
      <alignment horizontal="center"/>
    </xf>
    <xf numFmtId="164" fontId="21" fillId="2" borderId="0" xfId="0" applyNumberFormat="1" applyFont="1" applyFill="1" applyBorder="1" applyAlignment="1">
      <alignment horizontal="center"/>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6" borderId="5" xfId="0" applyFont="1" applyFill="1" applyBorder="1" applyAlignment="1">
      <alignment horizontal="center" vertical="center"/>
    </xf>
    <xf numFmtId="0" fontId="24" fillId="6" borderId="62" xfId="0" applyFont="1" applyFill="1" applyBorder="1" applyAlignment="1">
      <alignment horizontal="center" vertical="center"/>
    </xf>
    <xf numFmtId="0" fontId="15" fillId="17" borderId="1" xfId="0" applyFont="1" applyFill="1" applyBorder="1" applyAlignment="1">
      <alignment horizontal="center" vertical="center" wrapText="1"/>
    </xf>
    <xf numFmtId="0" fontId="24" fillId="6" borderId="73" xfId="0" applyFont="1" applyFill="1" applyBorder="1" applyAlignment="1" applyProtection="1">
      <alignment horizontal="center" vertical="center"/>
      <protection locked="0"/>
    </xf>
    <xf numFmtId="0" fontId="24" fillId="6" borderId="74" xfId="0" applyFont="1" applyFill="1" applyBorder="1" applyAlignment="1" applyProtection="1">
      <alignment horizontal="center" vertical="center"/>
      <protection locked="0"/>
    </xf>
    <xf numFmtId="0" fontId="24" fillId="6" borderId="75" xfId="0" applyFont="1" applyFill="1" applyBorder="1" applyAlignment="1" applyProtection="1">
      <alignment horizontal="center" vertical="center"/>
      <protection locked="0"/>
    </xf>
    <xf numFmtId="0" fontId="24" fillId="6" borderId="2" xfId="0" applyFont="1" applyFill="1" applyBorder="1" applyAlignment="1" applyProtection="1">
      <alignment horizontal="center" vertical="center" wrapText="1"/>
      <protection locked="0"/>
    </xf>
    <xf numFmtId="0" fontId="24" fillId="6" borderId="24" xfId="0" applyFont="1" applyFill="1" applyBorder="1" applyAlignment="1" applyProtection="1">
      <alignment horizontal="center" vertical="center" wrapText="1"/>
      <protection locked="0"/>
    </xf>
    <xf numFmtId="0" fontId="21" fillId="2" borderId="17"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8" xfId="0" applyFont="1" applyFill="1" applyBorder="1" applyAlignment="1" applyProtection="1">
      <alignment horizontal="center" vertical="center" wrapText="1"/>
      <protection locked="0"/>
    </xf>
    <xf numFmtId="0" fontId="21" fillId="2" borderId="16" xfId="0" applyFont="1" applyFill="1" applyBorder="1" applyAlignment="1">
      <alignment horizontal="left" vertical="top" wrapText="1"/>
    </xf>
    <xf numFmtId="0" fontId="21" fillId="2" borderId="14" xfId="0" applyFont="1" applyFill="1" applyBorder="1" applyAlignment="1">
      <alignment horizontal="left" vertical="top" wrapText="1"/>
    </xf>
    <xf numFmtId="0" fontId="21" fillId="2" borderId="15" xfId="0" applyFont="1" applyFill="1" applyBorder="1" applyAlignment="1">
      <alignment horizontal="left" vertical="top" wrapText="1"/>
    </xf>
    <xf numFmtId="0" fontId="24" fillId="6" borderId="61" xfId="0" applyFont="1" applyFill="1" applyBorder="1" applyAlignment="1" applyProtection="1">
      <alignment horizontal="center" vertical="center" wrapText="1"/>
      <protection locked="0"/>
    </xf>
    <xf numFmtId="0" fontId="24" fillId="6" borderId="23" xfId="0" applyFont="1" applyFill="1" applyBorder="1" applyAlignment="1" applyProtection="1">
      <alignment horizontal="center" vertical="center" wrapText="1"/>
      <protection locked="0"/>
    </xf>
    <xf numFmtId="0" fontId="24" fillId="6" borderId="1" xfId="0" applyFont="1" applyFill="1" applyBorder="1" applyAlignment="1" applyProtection="1">
      <alignment horizontal="center" vertical="center" wrapText="1"/>
      <protection locked="0"/>
    </xf>
    <xf numFmtId="0" fontId="25" fillId="6" borderId="1"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21" fillId="0" borderId="20" xfId="0" applyFont="1" applyFill="1" applyBorder="1" applyAlignment="1">
      <alignment horizontal="left" vertical="top" wrapText="1"/>
    </xf>
    <xf numFmtId="0" fontId="21" fillId="0" borderId="21" xfId="0" applyFont="1" applyFill="1" applyBorder="1" applyAlignment="1">
      <alignment horizontal="left" vertical="top" wrapText="1"/>
    </xf>
    <xf numFmtId="0" fontId="21" fillId="0" borderId="22" xfId="0" applyFont="1" applyFill="1" applyBorder="1" applyAlignment="1">
      <alignment horizontal="left" vertical="top" wrapText="1"/>
    </xf>
    <xf numFmtId="0" fontId="21" fillId="0" borderId="16" xfId="0" applyFont="1" applyFill="1" applyBorder="1" applyAlignment="1">
      <alignment vertical="top" wrapText="1"/>
    </xf>
    <xf numFmtId="0" fontId="21" fillId="0" borderId="14" xfId="0" applyFont="1" applyFill="1" applyBorder="1" applyAlignment="1">
      <alignment vertical="top" wrapText="1"/>
    </xf>
    <xf numFmtId="0" fontId="21" fillId="0" borderId="15" xfId="0" applyFont="1" applyFill="1" applyBorder="1" applyAlignment="1">
      <alignment vertical="top" wrapText="1"/>
    </xf>
    <xf numFmtId="0" fontId="15" fillId="17" borderId="1" xfId="0" applyFont="1" applyFill="1" applyBorder="1" applyAlignment="1" applyProtection="1">
      <alignment horizontal="center" vertical="center"/>
      <protection locked="0"/>
    </xf>
    <xf numFmtId="0" fontId="21" fillId="2" borderId="28"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protection locked="0"/>
    </xf>
    <xf numFmtId="0" fontId="24" fillId="6" borderId="61" xfId="0" applyFont="1" applyFill="1" applyBorder="1" applyAlignment="1">
      <alignment horizontal="center" vertical="center" wrapText="1"/>
    </xf>
    <xf numFmtId="0" fontId="41" fillId="6" borderId="0" xfId="0" applyFont="1" applyFill="1" applyBorder="1" applyAlignment="1">
      <alignment horizontal="center" vertical="center"/>
    </xf>
    <xf numFmtId="0" fontId="20" fillId="2" borderId="0" xfId="0" applyFont="1" applyFill="1" applyBorder="1" applyAlignment="1">
      <alignment horizontal="justify" vertical="top" wrapText="1"/>
    </xf>
    <xf numFmtId="0" fontId="21" fillId="0" borderId="19" xfId="0" applyFont="1" applyFill="1" applyBorder="1" applyAlignment="1">
      <alignment horizontal="left" vertical="top" wrapText="1"/>
    </xf>
    <xf numFmtId="0" fontId="21" fillId="2" borderId="81" xfId="0" applyFont="1" applyFill="1" applyBorder="1" applyAlignment="1" applyProtection="1">
      <alignment horizontal="center" vertical="center"/>
      <protection locked="0"/>
    </xf>
    <xf numFmtId="0" fontId="21" fillId="2" borderId="86" xfId="0" applyFont="1" applyFill="1" applyBorder="1" applyAlignment="1" applyProtection="1">
      <alignment horizontal="center" vertical="center"/>
      <protection locked="0"/>
    </xf>
    <xf numFmtId="0" fontId="39" fillId="17" borderId="1" xfId="0" applyFont="1" applyFill="1" applyBorder="1" applyAlignment="1">
      <alignment horizontal="center" vertical="center" textRotation="90" shrinkToFit="1"/>
    </xf>
    <xf numFmtId="0" fontId="21" fillId="2" borderId="26" xfId="0" applyFont="1" applyFill="1" applyBorder="1" applyAlignment="1" applyProtection="1">
      <alignment horizontal="center" vertical="center" wrapText="1"/>
      <protection hidden="1"/>
    </xf>
    <xf numFmtId="0" fontId="21" fillId="2" borderId="65" xfId="0" applyFont="1" applyFill="1" applyBorder="1" applyAlignment="1" applyProtection="1">
      <alignment horizontal="center" vertical="center"/>
      <protection locked="0"/>
    </xf>
    <xf numFmtId="0" fontId="21" fillId="2" borderId="66" xfId="0" applyFont="1" applyFill="1" applyBorder="1" applyAlignment="1" applyProtection="1">
      <alignment horizontal="center" vertical="center"/>
      <protection locked="0"/>
    </xf>
    <xf numFmtId="0" fontId="21" fillId="2" borderId="67" xfId="0" applyFont="1" applyFill="1" applyBorder="1" applyAlignment="1" applyProtection="1">
      <alignment horizontal="center" vertical="center"/>
      <protection locked="0"/>
    </xf>
    <xf numFmtId="0" fontId="21" fillId="0" borderId="38" xfId="0" applyFont="1" applyFill="1" applyBorder="1" applyAlignment="1">
      <alignment horizontal="left" vertical="top" wrapText="1"/>
    </xf>
    <xf numFmtId="0" fontId="21" fillId="0" borderId="39" xfId="0" applyFont="1" applyFill="1" applyBorder="1" applyAlignment="1">
      <alignment horizontal="left" vertical="top" wrapText="1"/>
    </xf>
    <xf numFmtId="0" fontId="21" fillId="0" borderId="40" xfId="0" applyFont="1" applyFill="1" applyBorder="1" applyAlignment="1">
      <alignment horizontal="left" vertical="top" wrapText="1"/>
    </xf>
    <xf numFmtId="2" fontId="25" fillId="0" borderId="0" xfId="0" applyNumberFormat="1" applyFont="1" applyFill="1" applyBorder="1" applyAlignment="1" applyProtection="1">
      <alignment horizontal="center" vertical="center" wrapText="1"/>
      <protection hidden="1"/>
    </xf>
    <xf numFmtId="2" fontId="24" fillId="0" borderId="0" xfId="0" applyNumberFormat="1" applyFont="1" applyFill="1" applyBorder="1" applyAlignment="1" applyProtection="1">
      <alignment horizontal="center" vertical="center" textRotation="90" wrapText="1"/>
      <protection hidden="1"/>
    </xf>
    <xf numFmtId="2" fontId="24" fillId="0" borderId="0" xfId="0" applyNumberFormat="1" applyFont="1" applyFill="1" applyBorder="1" applyAlignment="1">
      <alignment horizontal="center" vertical="center" textRotation="90" wrapText="1"/>
    </xf>
    <xf numFmtId="0" fontId="21" fillId="8" borderId="68" xfId="0" applyFont="1" applyFill="1" applyBorder="1" applyAlignment="1">
      <alignment horizontal="left" vertical="top" wrapText="1"/>
    </xf>
    <xf numFmtId="0" fontId="21" fillId="8" borderId="69" xfId="0" applyFont="1" applyFill="1" applyBorder="1" applyAlignment="1">
      <alignment horizontal="left" vertical="top" wrapText="1"/>
    </xf>
    <xf numFmtId="0" fontId="21" fillId="8" borderId="70" xfId="0" applyFont="1" applyFill="1" applyBorder="1" applyAlignment="1">
      <alignment horizontal="left" vertical="top" wrapText="1"/>
    </xf>
    <xf numFmtId="0" fontId="26" fillId="5" borderId="1" xfId="0" applyFont="1" applyFill="1" applyBorder="1" applyAlignment="1">
      <alignment horizontal="left" vertical="top" wrapText="1"/>
    </xf>
    <xf numFmtId="0" fontId="25" fillId="5" borderId="1" xfId="0" applyFont="1" applyFill="1" applyBorder="1" applyAlignment="1">
      <alignment horizontal="left" vertical="top" wrapText="1"/>
    </xf>
    <xf numFmtId="0" fontId="25" fillId="5" borderId="2" xfId="0" applyFont="1" applyFill="1" applyBorder="1" applyAlignment="1">
      <alignment horizontal="left" vertical="top" wrapText="1"/>
    </xf>
    <xf numFmtId="0" fontId="21" fillId="8" borderId="16" xfId="0" applyFont="1" applyFill="1" applyBorder="1" applyAlignment="1">
      <alignment horizontal="left" vertical="top" wrapText="1"/>
    </xf>
    <xf numFmtId="0" fontId="21" fillId="8" borderId="14" xfId="0" applyFont="1" applyFill="1" applyBorder="1" applyAlignment="1">
      <alignment horizontal="left" vertical="top" wrapText="1"/>
    </xf>
    <xf numFmtId="0" fontId="21" fillId="8" borderId="15" xfId="0" applyFont="1" applyFill="1" applyBorder="1" applyAlignment="1">
      <alignment horizontal="left" vertical="top" wrapText="1"/>
    </xf>
    <xf numFmtId="0" fontId="24" fillId="5" borderId="1" xfId="0" applyFont="1" applyFill="1" applyBorder="1" applyAlignment="1">
      <alignment horizontal="left" vertical="top" wrapText="1"/>
    </xf>
    <xf numFmtId="0" fontId="24" fillId="5" borderId="1" xfId="0" applyFont="1" applyFill="1" applyBorder="1" applyAlignment="1">
      <alignment horizontal="center" vertical="center" textRotation="90" wrapText="1"/>
    </xf>
    <xf numFmtId="0" fontId="24" fillId="5" borderId="2" xfId="0" applyFont="1" applyFill="1" applyBorder="1" applyAlignment="1">
      <alignment horizontal="center" vertical="center" textRotation="90" wrapText="1"/>
    </xf>
    <xf numFmtId="0" fontId="19" fillId="8" borderId="38" xfId="0" applyFont="1" applyFill="1" applyBorder="1" applyAlignment="1">
      <alignment horizontal="left" vertical="top" wrapText="1"/>
    </xf>
    <xf numFmtId="0" fontId="19" fillId="8" borderId="39" xfId="0" applyFont="1" applyFill="1" applyBorder="1" applyAlignment="1">
      <alignment horizontal="left" vertical="top" wrapText="1"/>
    </xf>
    <xf numFmtId="0" fontId="19" fillId="8" borderId="40" xfId="0" applyFont="1" applyFill="1" applyBorder="1" applyAlignment="1">
      <alignment horizontal="left" vertical="top" wrapText="1"/>
    </xf>
    <xf numFmtId="0" fontId="24" fillId="5" borderId="1"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4" fillId="5" borderId="0" xfId="0" applyFont="1" applyFill="1" applyBorder="1" applyAlignment="1">
      <alignment horizontal="center" vertical="center"/>
    </xf>
    <xf numFmtId="0" fontId="24" fillId="5" borderId="1" xfId="0" applyFont="1" applyFill="1" applyBorder="1" applyAlignment="1" applyProtection="1">
      <alignment horizontal="center" vertical="center" textRotation="90" wrapText="1"/>
      <protection hidden="1"/>
    </xf>
    <xf numFmtId="0" fontId="24" fillId="5" borderId="2" xfId="0" applyFont="1" applyFill="1" applyBorder="1" applyAlignment="1" applyProtection="1">
      <alignment horizontal="center" vertical="center" textRotation="90" wrapText="1"/>
      <protection hidden="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2" xfId="0" applyFont="1" applyFill="1" applyBorder="1" applyAlignment="1">
      <alignment horizontal="center" vertical="center" wrapText="1"/>
    </xf>
    <xf numFmtId="0" fontId="24" fillId="5" borderId="24" xfId="0" applyFont="1" applyFill="1" applyBorder="1" applyAlignment="1">
      <alignment horizontal="center" vertical="center"/>
    </xf>
    <xf numFmtId="0" fontId="24" fillId="5" borderId="23" xfId="0" applyFont="1" applyFill="1" applyBorder="1" applyAlignment="1">
      <alignment horizontal="center" vertical="center" wrapText="1"/>
    </xf>
    <xf numFmtId="0" fontId="24" fillId="5" borderId="24" xfId="0" applyFont="1" applyFill="1" applyBorder="1" applyAlignment="1">
      <alignment horizontal="center" vertical="center" wrapText="1"/>
    </xf>
    <xf numFmtId="0" fontId="19" fillId="8" borderId="16" xfId="0" applyFont="1" applyFill="1" applyBorder="1" applyAlignment="1">
      <alignment horizontal="left" vertical="top" wrapText="1"/>
    </xf>
    <xf numFmtId="0" fontId="19" fillId="8" borderId="14" xfId="0" applyFont="1" applyFill="1" applyBorder="1" applyAlignment="1">
      <alignment horizontal="left" vertical="top" wrapText="1"/>
    </xf>
    <xf numFmtId="0" fontId="19" fillId="8" borderId="15" xfId="0" applyFont="1" applyFill="1" applyBorder="1" applyAlignment="1">
      <alignment horizontal="left" vertical="top" wrapText="1"/>
    </xf>
    <xf numFmtId="0" fontId="19" fillId="0" borderId="20" xfId="0" quotePrefix="1" applyFont="1" applyFill="1" applyBorder="1" applyAlignment="1">
      <alignment horizontal="left" vertical="top" wrapText="1"/>
    </xf>
    <xf numFmtId="0" fontId="24" fillId="5" borderId="1" xfId="0" applyFont="1" applyFill="1" applyBorder="1" applyAlignment="1" applyProtection="1">
      <alignment horizontal="center" vertical="center" textRotation="90" wrapText="1"/>
      <protection locked="0"/>
    </xf>
    <xf numFmtId="0" fontId="24" fillId="5" borderId="2" xfId="0" applyFont="1" applyFill="1" applyBorder="1" applyAlignment="1" applyProtection="1">
      <alignment horizontal="center" vertical="center" textRotation="90" wrapText="1"/>
      <protection locked="0"/>
    </xf>
    <xf numFmtId="0" fontId="25" fillId="5" borderId="2" xfId="0" applyFont="1" applyFill="1" applyBorder="1" applyAlignment="1" applyProtection="1">
      <alignment horizontal="center" vertical="center" wrapText="1"/>
      <protection locked="0"/>
    </xf>
    <xf numFmtId="0" fontId="25" fillId="5" borderId="24" xfId="0" applyFont="1" applyFill="1" applyBorder="1" applyAlignment="1" applyProtection="1">
      <alignment horizontal="center" vertical="center"/>
      <protection locked="0"/>
    </xf>
    <xf numFmtId="0" fontId="25" fillId="5" borderId="1" xfId="0" applyFont="1" applyFill="1" applyBorder="1" applyAlignment="1" applyProtection="1">
      <alignment horizontal="center" vertical="center"/>
      <protection locked="0"/>
    </xf>
    <xf numFmtId="0" fontId="25" fillId="5" borderId="2"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4" fillId="5" borderId="1" xfId="0" applyFont="1" applyFill="1" applyBorder="1" applyAlignment="1" applyProtection="1">
      <alignment horizontal="center" vertical="center"/>
      <protection locked="0"/>
    </xf>
    <xf numFmtId="0" fontId="24" fillId="5" borderId="2" xfId="0" applyFont="1" applyFill="1" applyBorder="1" applyAlignment="1" applyProtection="1">
      <alignment horizontal="center" vertical="center"/>
      <protection locked="0"/>
    </xf>
    <xf numFmtId="0" fontId="19" fillId="2" borderId="20" xfId="0" applyFont="1" applyFill="1" applyBorder="1" applyAlignment="1">
      <alignment horizontal="left" vertical="top" wrapText="1"/>
    </xf>
    <xf numFmtId="0" fontId="19" fillId="2" borderId="21" xfId="0" applyFont="1" applyFill="1" applyBorder="1" applyAlignment="1">
      <alignment horizontal="left" vertical="top" wrapText="1"/>
    </xf>
    <xf numFmtId="0" fontId="19" fillId="2" borderId="22" xfId="0" applyFont="1" applyFill="1" applyBorder="1" applyAlignment="1">
      <alignment horizontal="left" vertical="top" wrapText="1"/>
    </xf>
    <xf numFmtId="0" fontId="24" fillId="5" borderId="2" xfId="0" applyFont="1" applyFill="1" applyBorder="1" applyAlignment="1" applyProtection="1">
      <alignment horizontal="center" vertical="center" wrapText="1"/>
      <protection locked="0"/>
    </xf>
    <xf numFmtId="0" fontId="24" fillId="5" borderId="24" xfId="0" applyFont="1" applyFill="1" applyBorder="1" applyAlignment="1" applyProtection="1">
      <alignment horizontal="center" vertical="center"/>
      <protection locked="0"/>
    </xf>
    <xf numFmtId="0" fontId="24" fillId="5" borderId="4" xfId="0" applyFont="1" applyFill="1" applyBorder="1" applyAlignment="1" applyProtection="1">
      <alignment horizontal="center" vertical="center"/>
      <protection locked="0"/>
    </xf>
    <xf numFmtId="0" fontId="24" fillId="5" borderId="5" xfId="0" applyFont="1" applyFill="1" applyBorder="1" applyAlignment="1" applyProtection="1">
      <alignment horizontal="center" vertical="center"/>
      <protection locked="0"/>
    </xf>
    <xf numFmtId="0" fontId="24" fillId="5" borderId="23" xfId="0" applyFont="1" applyFill="1" applyBorder="1" applyAlignment="1" applyProtection="1">
      <alignment horizontal="center" vertical="center" wrapText="1"/>
      <protection locked="0"/>
    </xf>
    <xf numFmtId="0" fontId="24" fillId="5" borderId="24" xfId="0" applyFont="1" applyFill="1" applyBorder="1" applyAlignment="1" applyProtection="1">
      <alignment horizontal="center" vertical="center" wrapText="1"/>
      <protection locked="0"/>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0" borderId="0" xfId="0" applyFont="1" applyFill="1" applyBorder="1" applyAlignment="1" applyProtection="1">
      <alignment horizontal="center" vertical="center" textRotation="90" wrapText="1"/>
      <protection hidden="1"/>
    </xf>
    <xf numFmtId="0" fontId="24" fillId="0" borderId="0" xfId="0" applyFont="1" applyFill="1" applyBorder="1" applyAlignment="1">
      <alignment horizontal="center" vertical="center" textRotation="90" wrapText="1"/>
    </xf>
    <xf numFmtId="0" fontId="25" fillId="0" borderId="0" xfId="0" applyFont="1" applyFill="1" applyBorder="1" applyAlignment="1" applyProtection="1">
      <alignment horizontal="center" vertical="center" wrapText="1"/>
      <protection hidden="1"/>
    </xf>
    <xf numFmtId="2" fontId="47" fillId="0" borderId="0" xfId="0" applyNumberFormat="1" applyFont="1" applyFill="1" applyBorder="1" applyAlignment="1">
      <alignment horizontal="center" vertical="center" textRotation="90" wrapText="1"/>
    </xf>
    <xf numFmtId="2" fontId="46" fillId="0" borderId="0" xfId="0" applyNumberFormat="1" applyFont="1" applyFill="1" applyBorder="1" applyAlignment="1">
      <alignment horizontal="center" vertical="center" wrapText="1"/>
    </xf>
    <xf numFmtId="0" fontId="47" fillId="0" borderId="0" xfId="0" applyFont="1" applyFill="1" applyBorder="1" applyAlignment="1">
      <alignment horizontal="center" vertical="center" textRotation="90" wrapText="1"/>
    </xf>
    <xf numFmtId="0" fontId="46" fillId="0" borderId="0" xfId="0" applyFont="1" applyFill="1" applyBorder="1" applyAlignment="1">
      <alignment horizontal="center" vertical="center" wrapText="1"/>
    </xf>
    <xf numFmtId="49" fontId="43" fillId="2" borderId="50" xfId="0" applyNumberFormat="1" applyFont="1" applyFill="1" applyBorder="1" applyAlignment="1">
      <alignment horizontal="left" vertical="center" wrapText="1"/>
    </xf>
    <xf numFmtId="49" fontId="43" fillId="2" borderId="48" xfId="0" applyNumberFormat="1" applyFont="1" applyFill="1" applyBorder="1" applyAlignment="1">
      <alignment horizontal="left" vertical="center" wrapText="1"/>
    </xf>
    <xf numFmtId="0" fontId="35" fillId="3" borderId="41" xfId="0" applyFont="1" applyFill="1" applyBorder="1" applyAlignment="1">
      <alignment horizontal="center" vertical="center"/>
    </xf>
    <xf numFmtId="0" fontId="35" fillId="3" borderId="42" xfId="0" applyFont="1" applyFill="1" applyBorder="1" applyAlignment="1">
      <alignment horizontal="center" vertical="center"/>
    </xf>
    <xf numFmtId="0" fontId="35" fillId="3" borderId="43" xfId="0" applyFont="1" applyFill="1" applyBorder="1" applyAlignment="1">
      <alignment horizontal="center" vertical="center"/>
    </xf>
    <xf numFmtId="49" fontId="43" fillId="2" borderId="49" xfId="0" applyNumberFormat="1" applyFont="1" applyFill="1" applyBorder="1" applyAlignment="1">
      <alignment horizontal="left" vertical="center" wrapText="1"/>
    </xf>
    <xf numFmtId="49" fontId="43" fillId="2" borderId="47" xfId="0" applyNumberFormat="1" applyFont="1" applyFill="1" applyBorder="1" applyAlignment="1">
      <alignment horizontal="left" vertical="center" wrapText="1"/>
    </xf>
    <xf numFmtId="49" fontId="49" fillId="2" borderId="46" xfId="0" applyNumberFormat="1" applyFont="1" applyFill="1" applyBorder="1" applyAlignment="1" applyProtection="1">
      <alignment horizontal="center" vertical="top" wrapText="1"/>
      <protection locked="0"/>
    </xf>
    <xf numFmtId="49" fontId="0" fillId="2" borderId="106" xfId="0" applyNumberFormat="1" applyFill="1" applyBorder="1" applyAlignment="1" applyProtection="1">
      <alignment horizontal="center" vertical="top" wrapText="1"/>
      <protection locked="0"/>
    </xf>
    <xf numFmtId="49" fontId="0" fillId="2" borderId="107" xfId="0" applyNumberFormat="1" applyFill="1" applyBorder="1" applyAlignment="1" applyProtection="1">
      <alignment horizontal="center" vertical="top" wrapText="1"/>
      <protection locked="0"/>
    </xf>
    <xf numFmtId="0" fontId="51" fillId="2" borderId="1" xfId="0" applyFont="1" applyFill="1" applyBorder="1" applyAlignment="1" applyProtection="1">
      <alignment horizontal="center"/>
      <protection locked="0"/>
    </xf>
    <xf numFmtId="0" fontId="22" fillId="2" borderId="1" xfId="0" applyFont="1" applyFill="1" applyBorder="1" applyAlignment="1" applyProtection="1">
      <alignment horizontal="center"/>
      <protection locked="0"/>
    </xf>
    <xf numFmtId="164" fontId="52" fillId="2" borderId="4" xfId="0" applyNumberFormat="1" applyFont="1" applyFill="1" applyBorder="1" applyAlignment="1" applyProtection="1">
      <alignment horizontal="center"/>
      <protection locked="0"/>
    </xf>
    <xf numFmtId="164" fontId="21" fillId="2" borderId="5" xfId="0" applyNumberFormat="1" applyFont="1" applyFill="1" applyBorder="1" applyAlignment="1" applyProtection="1">
      <alignment horizontal="center"/>
      <protection locked="0"/>
    </xf>
    <xf numFmtId="164" fontId="21" fillId="2" borderId="62" xfId="0" applyNumberFormat="1" applyFont="1" applyFill="1" applyBorder="1" applyAlignment="1" applyProtection="1">
      <alignment horizontal="center"/>
      <protection locked="0"/>
    </xf>
    <xf numFmtId="0" fontId="40" fillId="3" borderId="2"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35" fillId="3" borderId="77" xfId="0" applyFont="1" applyFill="1" applyBorder="1" applyAlignment="1">
      <alignment horizontal="center" vertical="center" wrapText="1"/>
    </xf>
    <xf numFmtId="0" fontId="35" fillId="3" borderId="78" xfId="0" applyFont="1" applyFill="1" applyBorder="1" applyAlignment="1">
      <alignment horizontal="center" vertical="center" wrapText="1"/>
    </xf>
    <xf numFmtId="0" fontId="35" fillId="3" borderId="79" xfId="0" applyFont="1" applyFill="1" applyBorder="1" applyAlignment="1">
      <alignment horizontal="center" vertical="center" wrapText="1"/>
    </xf>
  </cellXfs>
  <cellStyles count="6">
    <cellStyle name="Hipervínculo" xfId="2" builtinId="8"/>
    <cellStyle name="Normal" xfId="0" builtinId="0"/>
    <cellStyle name="Normal - Style1 2" xfId="4" xr:uid="{00000000-0005-0000-0000-000002000000}"/>
    <cellStyle name="Normal 2" xfId="3" xr:uid="{00000000-0005-0000-0000-000003000000}"/>
    <cellStyle name="Normal 2 2" xfId="5" xr:uid="{00000000-0005-0000-0000-000004000000}"/>
    <cellStyle name="table_head1" xfId="1" xr:uid="{00000000-0005-0000-0000-00000600000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1765300</xdr:colOff>
      <xdr:row>0</xdr:row>
      <xdr:rowOff>0</xdr:rowOff>
    </xdr:from>
    <xdr:to>
      <xdr:col>7</xdr:col>
      <xdr:colOff>2204378</xdr:colOff>
      <xdr:row>16</xdr:row>
      <xdr:rowOff>4250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8191500" y="0"/>
          <a:ext cx="3966503" cy="225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1685925</xdr:colOff>
      <xdr:row>0</xdr:row>
      <xdr:rowOff>0</xdr:rowOff>
    </xdr:from>
    <xdr:to>
      <xdr:col>7</xdr:col>
      <xdr:colOff>2377271</xdr:colOff>
      <xdr:row>7</xdr:row>
      <xdr:rowOff>128941</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stretch>
          <a:fillRect/>
        </a:stretch>
      </xdr:blipFill>
      <xdr:spPr>
        <a:xfrm>
          <a:off x="7534275" y="0"/>
          <a:ext cx="3958421" cy="21863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Participaciones Dic-11"/>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row r="9">
          <cell r="E9">
            <v>0.64437624003083604</v>
          </cell>
        </row>
        <row r="22">
          <cell r="E22">
            <v>0.20000940698425698</v>
          </cell>
        </row>
      </sheetData>
      <sheetData sheetId="1"/>
      <sheetData sheetId="2"/>
      <sheetData sheetId="3"/>
      <sheetData sheetId="4"/>
      <sheetData sheetId="5"/>
      <sheetData sheetId="6">
        <row r="3">
          <cell r="B3">
            <v>40878</v>
          </cell>
        </row>
      </sheetData>
      <sheetData sheetId="7">
        <row r="7">
          <cell r="B7">
            <v>3618549.9999999995</v>
          </cell>
        </row>
      </sheetData>
      <sheetData sheetId="8">
        <row r="21">
          <cell r="F21">
            <v>103736039.5</v>
          </cell>
        </row>
      </sheetData>
      <sheetData sheetId="9">
        <row r="2">
          <cell r="T2" t="str">
            <v>TOTAL
CONSOLIDADO</v>
          </cell>
        </row>
      </sheetData>
      <sheetData sheetId="10">
        <row r="1">
          <cell r="B1" t="str">
            <v>BALANCE CONSOLIDADO LEY 222 DICIEMBRE DE 2011</v>
          </cell>
        </row>
      </sheetData>
      <sheetData sheetId="11"/>
      <sheetData sheetId="12"/>
      <sheetData sheetId="13"/>
      <sheetData sheetId="14"/>
      <sheetData sheetId="15"/>
      <sheetData sheetId="16"/>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 EXT"/>
      <sheetName val="ELIMINA"/>
      <sheetName val="FILIALEXT"/>
      <sheetName val="FILIAL"/>
      <sheetName val="VARIACION"/>
      <sheetName val="BASE"/>
      <sheetName val="MATRIZ"/>
      <sheetName val="Int Minoritario"/>
      <sheetName val="NOTAS"/>
      <sheetName val="CONSOL"/>
      <sheetName val="BALAN"/>
      <sheetName val="PYG"/>
      <sheetName val="PATRIM"/>
      <sheetName val="EFECTIVO"/>
      <sheetName val="CON"/>
    </sheetNames>
    <sheetDataSet>
      <sheetData sheetId="0"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2"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3"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Cuentas de Orden, Otros"/>
      <sheetName val="Cuentas de Orden, Tesorería"/>
      <sheetName val="Cuentas de Orden, Riesgo"/>
    </sheetNames>
    <sheetDataSet>
      <sheetData sheetId="0">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1">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2">
        <row r="7">
          <cell r="E7">
            <v>1851277.9970764969</v>
          </cell>
        </row>
        <row r="8">
          <cell r="C8">
            <v>420505</v>
          </cell>
          <cell r="E8">
            <v>1556780.049567567</v>
          </cell>
        </row>
        <row r="9">
          <cell r="C9">
            <v>420510</v>
          </cell>
          <cell r="E9">
            <v>294497.94750893005</v>
          </cell>
        </row>
      </sheetData>
      <sheetData sheetId="3">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4">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5">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6">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7">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8">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9">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10">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11">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12">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13">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14">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15" refreshError="1"/>
      <sheetData sheetId="16">
        <row r="2866">
          <cell r="D2866">
            <v>1358621453.495039</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 LLP Model V3 Meridiana"/>
      <sheetName val="Inputs"/>
      <sheetName val="LLP Data"/>
      <sheetName val="Output"/>
      <sheetName val="Cost Summary"/>
      <sheetName val="Shop Visit"/>
      <sheetName val="Shop Visit II"/>
      <sheetName val="Analysis"/>
      <sheetName val="Active PV"/>
      <sheetName val="Validation"/>
      <sheetName val="VB Code"/>
      <sheetName val="Array management"/>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VARIACION"/>
      <sheetName val="BASE"/>
      <sheetName val="NOTAS"/>
      <sheetName val="CONSOL"/>
      <sheetName val="BALAN"/>
      <sheetName val="PYG"/>
      <sheetName val="INT MIN"/>
      <sheetName val="PATRIM"/>
      <sheetName val="EFECTIVO"/>
      <sheetName val="ELIMINA"/>
      <sheetName val="ELIMINA EXT"/>
      <sheetName val="FILIAL"/>
      <sheetName val="CON"/>
    </sheetNames>
    <sheetDataSet>
      <sheetData sheetId="0"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sheetName val="Seguimiento"/>
      <sheetName val="Versiones"/>
      <sheetName val="5"/>
      <sheetName val="5a"/>
      <sheetName val="6"/>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ción Accionaria Junio "/>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ECP ATH"/>
      <sheetName val="ECP PORVENIR"/>
      <sheetName val="ECP CASA DE BOLSA"/>
      <sheetName val="ECP CORFICOL"/>
      <sheetName val="ECP FIDUOCCIDENTE"/>
      <sheetName val="ECP OCCIDENTE"/>
      <sheetName val="ECP VTAS Y SERVICIOS"/>
    </sheetNames>
    <sheetDataSet>
      <sheetData sheetId="0">
        <row r="11">
          <cell r="K11">
            <v>0.6482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5">
          <cell r="E55">
            <v>822062.25530159008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Z"/>
      <sheetName val="#2007"/>
      <sheetName val="#2006"/>
      <sheetName val="#2005"/>
      <sheetName val="#2004"/>
      <sheetName val="#2003"/>
      <sheetName val="#2002"/>
    </sheetNames>
    <sheetDataSet>
      <sheetData sheetId="0"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ListaCompetencia"/>
      <sheetName val="ListaMaster"/>
      <sheetName val="ListaVisa"/>
      <sheetName val="Parametros"/>
      <sheetName val=" Resumen "/>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Deposits (PL.120)"/>
      <sheetName val="Corporate Expenses (PL.717)"/>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Income (PL.505)"/>
      <sheetName val="Other Services (PL.773)"/>
      <sheetName val="Depreciation (PL.797)"/>
      <sheetName val="Cuentas de Orden, Tesorería"/>
      <sheetName val="Cuentas de Orden, Otros"/>
      <sheetName val="Cuentas de Orden, Riesgo"/>
    </sheetNames>
    <sheetDataSet>
      <sheetData sheetId="0">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recip"/>
      <sheetName val="Estado de Resultados"/>
      <sheetName val="BG PUC"/>
      <sheetName val="BG PUC HOMOLOGADO"/>
      <sheetName val="Balance General"/>
      <sheetName val="E. Cambios Patrim"/>
      <sheetName val="E. Flujo de Fondos"/>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DATA2"/>
      <sheetName val="General"/>
      <sheetName val="Hoja4"/>
    </sheetNames>
    <sheetDataSet>
      <sheetData sheetId="0"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 val="Bines"/>
      <sheetName val="Enero"/>
      <sheetName val="Febrero"/>
      <sheetName val="Marzo"/>
      <sheetName val="Abril"/>
      <sheetName val="Mayo"/>
      <sheetName val="Junio"/>
      <sheetName val="Julio"/>
      <sheetName val="Agosto"/>
      <sheetName val="Septiembre"/>
      <sheetName val="Noviembre"/>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6"/>
  <sheetViews>
    <sheetView showGridLines="0" topLeftCell="A16" zoomScale="90" zoomScaleNormal="90" workbookViewId="0">
      <selection activeCell="D37" sqref="D37"/>
    </sheetView>
  </sheetViews>
  <sheetFormatPr baseColWidth="10" defaultColWidth="0" defaultRowHeight="0" customHeight="1" zeroHeight="1" x14ac:dyDescent="0.3"/>
  <cols>
    <col min="1" max="1" width="3.88671875" style="7" customWidth="1"/>
    <col min="2" max="2" width="15.33203125" style="7" customWidth="1"/>
    <col min="3" max="3" width="17.33203125" style="7" customWidth="1"/>
    <col min="4" max="4" width="28.5546875" style="7" customWidth="1"/>
    <col min="5" max="5" width="12.88671875" style="7" customWidth="1"/>
    <col min="6" max="6" width="47.109375" style="7" customWidth="1"/>
    <col min="7" max="7" width="21.44140625" style="7" customWidth="1"/>
    <col min="8" max="8" width="6.5546875" style="7" customWidth="1"/>
    <col min="9" max="9" width="2.5546875" style="7" customWidth="1"/>
    <col min="10" max="16384" width="11.44140625" style="7" hidden="1"/>
  </cols>
  <sheetData>
    <row r="1" spans="1:8" ht="13.85" thickBot="1" x14ac:dyDescent="0.35"/>
    <row r="2" spans="1:8" ht="73.45" customHeight="1" x14ac:dyDescent="0.3">
      <c r="A2" s="7" t="e">
        <f>+A2:H15E15A2:H13A2:H19E15A2:H13A2:H26E15A2:H13A2A2:H35</f>
        <v>#NAME?</v>
      </c>
      <c r="B2" s="184" t="s">
        <v>0</v>
      </c>
      <c r="C2" s="185"/>
      <c r="D2" s="185"/>
      <c r="E2" s="185"/>
      <c r="F2" s="185"/>
      <c r="G2" s="185"/>
      <c r="H2" s="186"/>
    </row>
    <row r="3" spans="1:8" ht="13.25" x14ac:dyDescent="0.3">
      <c r="B3" s="69"/>
      <c r="C3" s="79"/>
      <c r="D3" s="79"/>
      <c r="E3" s="79"/>
      <c r="F3" s="79"/>
      <c r="G3" s="79"/>
      <c r="H3" s="70"/>
    </row>
    <row r="4" spans="1:8" ht="13.25" x14ac:dyDescent="0.3">
      <c r="B4" s="69"/>
      <c r="C4" s="79"/>
      <c r="D4" s="79"/>
      <c r="E4" s="79"/>
      <c r="F4" s="79"/>
      <c r="G4" s="79"/>
      <c r="H4" s="70"/>
    </row>
    <row r="5" spans="1:8" ht="13.25" x14ac:dyDescent="0.3">
      <c r="B5" s="71"/>
      <c r="C5" s="8"/>
      <c r="D5" s="8"/>
      <c r="E5" s="8"/>
      <c r="F5" s="8"/>
      <c r="G5" s="8"/>
      <c r="H5" s="72"/>
    </row>
    <row r="6" spans="1:8" ht="65.25" customHeight="1" x14ac:dyDescent="0.3">
      <c r="B6" s="187" t="s">
        <v>1</v>
      </c>
      <c r="C6" s="188"/>
      <c r="D6" s="188"/>
      <c r="E6" s="188"/>
      <c r="F6" s="188"/>
      <c r="G6" s="188"/>
      <c r="H6" s="189"/>
    </row>
    <row r="7" spans="1:8" ht="74.3" customHeight="1" x14ac:dyDescent="0.3">
      <c r="B7" s="187"/>
      <c r="C7" s="188"/>
      <c r="D7" s="188"/>
      <c r="E7" s="188"/>
      <c r="F7" s="188"/>
      <c r="G7" s="188"/>
      <c r="H7" s="189"/>
    </row>
    <row r="8" spans="1:8" ht="21.75" customHeight="1" x14ac:dyDescent="0.3">
      <c r="B8" s="190" t="s">
        <v>2</v>
      </c>
      <c r="C8" s="191"/>
      <c r="D8" s="191"/>
      <c r="E8" s="191"/>
      <c r="F8" s="191"/>
      <c r="G8" s="191"/>
      <c r="H8" s="192"/>
    </row>
    <row r="9" spans="1:8" ht="42.05" customHeight="1" x14ac:dyDescent="0.3">
      <c r="B9" s="157" t="s">
        <v>3</v>
      </c>
      <c r="C9" s="158"/>
      <c r="D9" s="158"/>
      <c r="E9" s="158"/>
      <c r="F9" s="158"/>
      <c r="G9" s="158"/>
      <c r="H9" s="159"/>
    </row>
    <row r="10" spans="1:8" ht="43.5" customHeight="1" x14ac:dyDescent="0.3">
      <c r="B10" s="157"/>
      <c r="C10" s="158"/>
      <c r="D10" s="158"/>
      <c r="E10" s="158"/>
      <c r="F10" s="158"/>
      <c r="G10" s="158"/>
      <c r="H10" s="159"/>
    </row>
    <row r="11" spans="1:8" ht="12.85" customHeight="1" thickBot="1" x14ac:dyDescent="0.35">
      <c r="B11" s="69"/>
      <c r="C11" s="79"/>
      <c r="D11" s="9"/>
      <c r="E11" s="10"/>
      <c r="F11" s="10"/>
      <c r="G11" s="11"/>
      <c r="H11" s="73"/>
    </row>
    <row r="12" spans="1:8" ht="21.05" customHeight="1" thickTop="1" x14ac:dyDescent="0.3">
      <c r="B12" s="69"/>
      <c r="C12" s="172" t="s">
        <v>4</v>
      </c>
      <c r="D12" s="173"/>
      <c r="E12" s="160" t="s">
        <v>5</v>
      </c>
      <c r="F12" s="161"/>
      <c r="G12" s="79"/>
      <c r="H12" s="70"/>
    </row>
    <row r="13" spans="1:8" ht="37.450000000000003" customHeight="1" x14ac:dyDescent="0.3">
      <c r="B13" s="69"/>
      <c r="C13" s="170" t="s">
        <v>6</v>
      </c>
      <c r="D13" s="171"/>
      <c r="E13" s="162" t="s">
        <v>7</v>
      </c>
      <c r="F13" s="163"/>
      <c r="G13" s="79"/>
      <c r="H13" s="70"/>
    </row>
    <row r="14" spans="1:8" ht="39.75" customHeight="1" x14ac:dyDescent="0.3">
      <c r="B14" s="69"/>
      <c r="C14" s="168" t="s">
        <v>8</v>
      </c>
      <c r="D14" s="169"/>
      <c r="E14" s="166" t="s">
        <v>9</v>
      </c>
      <c r="F14" s="167"/>
      <c r="G14" s="79"/>
      <c r="H14" s="70"/>
    </row>
    <row r="15" spans="1:8" ht="230.25" customHeight="1" x14ac:dyDescent="0.3">
      <c r="B15" s="69"/>
      <c r="C15" s="168" t="s">
        <v>10</v>
      </c>
      <c r="D15" s="169"/>
      <c r="E15" s="166" t="s">
        <v>11</v>
      </c>
      <c r="F15" s="167"/>
      <c r="G15" s="79"/>
      <c r="H15" s="70"/>
    </row>
    <row r="16" spans="1:8" ht="15.7" customHeight="1" x14ac:dyDescent="0.3">
      <c r="B16" s="69"/>
      <c r="C16" s="195" t="s">
        <v>12</v>
      </c>
      <c r="D16" s="19" t="s">
        <v>13</v>
      </c>
      <c r="E16" s="166" t="s">
        <v>14</v>
      </c>
      <c r="F16" s="167"/>
      <c r="G16" s="79"/>
      <c r="H16" s="70"/>
    </row>
    <row r="17" spans="2:8" ht="54" customHeight="1" x14ac:dyDescent="0.3">
      <c r="B17" s="69"/>
      <c r="C17" s="196"/>
      <c r="D17" s="48" t="s">
        <v>15</v>
      </c>
      <c r="E17" s="174" t="s">
        <v>16</v>
      </c>
      <c r="F17" s="175"/>
      <c r="G17" s="79"/>
      <c r="H17" s="70"/>
    </row>
    <row r="18" spans="2:8" ht="98.25" customHeight="1" x14ac:dyDescent="0.3">
      <c r="B18" s="69"/>
      <c r="C18" s="196"/>
      <c r="D18" s="48" t="s">
        <v>17</v>
      </c>
      <c r="E18" s="174" t="s">
        <v>18</v>
      </c>
      <c r="F18" s="175"/>
      <c r="G18" s="79"/>
      <c r="H18" s="70"/>
    </row>
    <row r="19" spans="2:8" ht="83.25" customHeight="1" thickBot="1" x14ac:dyDescent="0.35">
      <c r="B19" s="69"/>
      <c r="C19" s="197" t="s">
        <v>19</v>
      </c>
      <c r="D19" s="198"/>
      <c r="E19" s="164" t="s">
        <v>20</v>
      </c>
      <c r="F19" s="165"/>
      <c r="G19" s="79"/>
      <c r="H19" s="70"/>
    </row>
    <row r="20" spans="2:8" ht="19.45" customHeight="1" thickTop="1" x14ac:dyDescent="0.3">
      <c r="B20" s="69"/>
      <c r="C20" s="12"/>
      <c r="D20" s="12"/>
      <c r="E20" s="13"/>
      <c r="F20" s="13"/>
      <c r="G20" s="79"/>
      <c r="H20" s="70"/>
    </row>
    <row r="21" spans="2:8" ht="37.450000000000003" customHeight="1" x14ac:dyDescent="0.3">
      <c r="B21" s="180" t="s">
        <v>21</v>
      </c>
      <c r="C21" s="181"/>
      <c r="D21" s="181"/>
      <c r="E21" s="181"/>
      <c r="F21" s="181"/>
      <c r="G21" s="181"/>
      <c r="H21" s="182"/>
    </row>
    <row r="22" spans="2:8" ht="27.8" customHeight="1" x14ac:dyDescent="0.3">
      <c r="B22" s="69"/>
      <c r="C22" s="79"/>
      <c r="D22" s="79"/>
      <c r="E22" s="79"/>
      <c r="F22" s="79"/>
      <c r="G22" s="79"/>
      <c r="H22" s="70"/>
    </row>
    <row r="23" spans="2:8" ht="27.8" customHeight="1" x14ac:dyDescent="0.3">
      <c r="B23" s="69"/>
      <c r="C23" s="134" t="s">
        <v>22</v>
      </c>
      <c r="D23" s="199" t="s">
        <v>5</v>
      </c>
      <c r="E23" s="199"/>
      <c r="F23" s="199" t="s">
        <v>23</v>
      </c>
      <c r="G23" s="199"/>
      <c r="H23" s="70"/>
    </row>
    <row r="24" spans="2:8" ht="59.2" customHeight="1" x14ac:dyDescent="0.3">
      <c r="B24" s="69"/>
      <c r="C24" s="89" t="s">
        <v>24</v>
      </c>
      <c r="D24" s="176" t="s">
        <v>25</v>
      </c>
      <c r="E24" s="176"/>
      <c r="F24" s="176" t="s">
        <v>26</v>
      </c>
      <c r="G24" s="176"/>
      <c r="H24" s="70"/>
    </row>
    <row r="25" spans="2:8" ht="53.3" customHeight="1" x14ac:dyDescent="0.3">
      <c r="B25" s="69"/>
      <c r="C25" s="90" t="s">
        <v>27</v>
      </c>
      <c r="D25" s="176" t="s">
        <v>28</v>
      </c>
      <c r="E25" s="176"/>
      <c r="F25" s="176" t="s">
        <v>29</v>
      </c>
      <c r="G25" s="176"/>
      <c r="H25" s="70"/>
    </row>
    <row r="26" spans="2:8" ht="62.25" customHeight="1" x14ac:dyDescent="0.3">
      <c r="B26" s="69"/>
      <c r="C26" s="91" t="s">
        <v>30</v>
      </c>
      <c r="D26" s="176" t="s">
        <v>31</v>
      </c>
      <c r="E26" s="176"/>
      <c r="F26" s="176" t="s">
        <v>32</v>
      </c>
      <c r="G26" s="176"/>
      <c r="H26" s="70"/>
    </row>
    <row r="27" spans="2:8" ht="70.599999999999994" customHeight="1" x14ac:dyDescent="0.3">
      <c r="B27" s="69"/>
      <c r="C27" s="92" t="s">
        <v>33</v>
      </c>
      <c r="D27" s="176" t="s">
        <v>34</v>
      </c>
      <c r="E27" s="176"/>
      <c r="F27" s="176" t="s">
        <v>35</v>
      </c>
      <c r="G27" s="176"/>
      <c r="H27" s="70"/>
    </row>
    <row r="28" spans="2:8" ht="11.25" customHeight="1" x14ac:dyDescent="0.3">
      <c r="B28" s="74"/>
      <c r="C28" s="68"/>
      <c r="D28" s="68"/>
      <c r="E28" s="68"/>
      <c r="F28" s="68"/>
      <c r="G28" s="68"/>
      <c r="H28" s="75"/>
    </row>
    <row r="29" spans="2:8" ht="14.25" customHeight="1" x14ac:dyDescent="0.3">
      <c r="B29" s="135"/>
      <c r="C29" s="193"/>
      <c r="D29" s="193"/>
      <c r="E29" s="194"/>
      <c r="F29" s="194"/>
      <c r="G29" s="194"/>
      <c r="H29" s="136"/>
    </row>
    <row r="30" spans="2:8" ht="27.8" customHeight="1" x14ac:dyDescent="0.3">
      <c r="B30" s="180" t="s">
        <v>36</v>
      </c>
      <c r="C30" s="181"/>
      <c r="D30" s="181"/>
      <c r="E30" s="181"/>
      <c r="F30" s="181"/>
      <c r="G30" s="181"/>
      <c r="H30" s="182"/>
    </row>
    <row r="31" spans="2:8" ht="13.25" x14ac:dyDescent="0.3">
      <c r="B31" s="69"/>
      <c r="C31" s="14"/>
      <c r="D31" s="14"/>
      <c r="E31" s="183"/>
      <c r="F31" s="183"/>
      <c r="G31" s="79"/>
      <c r="H31" s="70"/>
    </row>
    <row r="32" spans="2:8" ht="13.85" x14ac:dyDescent="0.3">
      <c r="B32" s="177" t="s">
        <v>37</v>
      </c>
      <c r="C32" s="178"/>
      <c r="D32" s="178"/>
      <c r="E32" s="178"/>
      <c r="F32" s="178"/>
      <c r="G32" s="178"/>
      <c r="H32" s="179"/>
    </row>
    <row r="33" spans="2:8" ht="13.85" thickBot="1" x14ac:dyDescent="0.35">
      <c r="B33" s="76"/>
      <c r="C33" s="77"/>
      <c r="D33" s="77"/>
      <c r="E33" s="77"/>
      <c r="F33" s="77"/>
      <c r="G33" s="77"/>
      <c r="H33" s="78"/>
    </row>
    <row r="34" spans="2:8" ht="13.25" x14ac:dyDescent="0.3"/>
    <row r="35" spans="2:8" ht="29.25" customHeight="1" x14ac:dyDescent="0.3"/>
    <row r="36" spans="2:8" ht="26.25" customHeight="1" x14ac:dyDescent="0.3"/>
    <row r="37" spans="2:8" ht="43.5" customHeight="1" x14ac:dyDescent="0.3"/>
    <row r="38" spans="2:8" ht="53.3" customHeight="1" x14ac:dyDescent="0.3"/>
    <row r="39" spans="2:8" ht="13.25" x14ac:dyDescent="0.3"/>
    <row r="40" spans="2:8" ht="13.25" x14ac:dyDescent="0.3"/>
    <row r="41" spans="2:8" ht="13.25" x14ac:dyDescent="0.3"/>
    <row r="42" spans="2:8" ht="13.25" x14ac:dyDescent="0.3"/>
    <row r="43" spans="2:8" ht="13.25" x14ac:dyDescent="0.3"/>
    <row r="44" spans="2:8" ht="13.25" x14ac:dyDescent="0.3"/>
    <row r="45" spans="2:8" ht="12.85" customHeight="1" x14ac:dyDescent="0.3"/>
    <row r="46" spans="2:8" ht="12.85" customHeight="1" x14ac:dyDescent="0.3"/>
    <row r="47" spans="2:8" ht="12.85" customHeight="1" x14ac:dyDescent="0.3"/>
    <row r="48" spans="2:8" ht="12.85" customHeight="1" x14ac:dyDescent="0.3"/>
    <row r="49" ht="12.85" customHeight="1" x14ac:dyDescent="0.3"/>
    <row r="50" ht="12.85" customHeight="1" x14ac:dyDescent="0.3"/>
    <row r="51" ht="12.85" customHeight="1" x14ac:dyDescent="0.3"/>
    <row r="52" ht="12.85" customHeight="1" x14ac:dyDescent="0.3"/>
    <row r="53" ht="12.85" customHeight="1" x14ac:dyDescent="0.3"/>
    <row r="54" ht="12.85" customHeight="1" x14ac:dyDescent="0.3"/>
    <row r="55" ht="12.85" customHeight="1" x14ac:dyDescent="0.3"/>
    <row r="56" ht="12.85" customHeight="1" x14ac:dyDescent="0.3"/>
  </sheetData>
  <sheetProtection selectLockedCells="1" selectUnlockedCells="1"/>
  <mergeCells count="34">
    <mergeCell ref="B2:H2"/>
    <mergeCell ref="B6:H7"/>
    <mergeCell ref="B8:H8"/>
    <mergeCell ref="C29:D29"/>
    <mergeCell ref="E29:G29"/>
    <mergeCell ref="C15:D15"/>
    <mergeCell ref="C16:C18"/>
    <mergeCell ref="C19:D19"/>
    <mergeCell ref="E16:F16"/>
    <mergeCell ref="D24:E24"/>
    <mergeCell ref="D23:E23"/>
    <mergeCell ref="F26:G26"/>
    <mergeCell ref="F27:G27"/>
    <mergeCell ref="F23:G23"/>
    <mergeCell ref="D27:E27"/>
    <mergeCell ref="F24:G24"/>
    <mergeCell ref="F25:G25"/>
    <mergeCell ref="D25:E25"/>
    <mergeCell ref="B32:H32"/>
    <mergeCell ref="E18:F18"/>
    <mergeCell ref="B21:H21"/>
    <mergeCell ref="E31:F31"/>
    <mergeCell ref="D26:E26"/>
    <mergeCell ref="B30:H30"/>
    <mergeCell ref="B9:H10"/>
    <mergeCell ref="E12:F12"/>
    <mergeCell ref="E13:F13"/>
    <mergeCell ref="E19:F19"/>
    <mergeCell ref="E15:F15"/>
    <mergeCell ref="C14:D14"/>
    <mergeCell ref="C13:D13"/>
    <mergeCell ref="C12:D12"/>
    <mergeCell ref="E14:F14"/>
    <mergeCell ref="E17:F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39"/>
  <sheetViews>
    <sheetView showGridLines="0" workbookViewId="0">
      <pane xSplit="1" ySplit="4" topLeftCell="B24" activePane="bottomRight" state="frozen"/>
      <selection pane="topRight" activeCell="B1" sqref="B1"/>
      <selection pane="bottomLeft" activeCell="A11" sqref="A11"/>
      <selection pane="bottomRight" activeCell="C25" sqref="C25"/>
    </sheetView>
  </sheetViews>
  <sheetFormatPr baseColWidth="10" defaultColWidth="11.44140625" defaultRowHeight="13.85" x14ac:dyDescent="0.25"/>
  <cols>
    <col min="1" max="1" width="3.5546875" style="22" customWidth="1"/>
    <col min="2" max="2" width="36.44140625" style="22" customWidth="1"/>
    <col min="3" max="3" width="67.109375" style="26" customWidth="1"/>
    <col min="4" max="16384" width="11.44140625" style="22"/>
  </cols>
  <sheetData>
    <row r="2" spans="2:12" x14ac:dyDescent="0.25">
      <c r="B2" s="200" t="s">
        <v>38</v>
      </c>
      <c r="C2" s="200"/>
      <c r="D2" s="21"/>
      <c r="E2" s="21"/>
      <c r="F2" s="21"/>
      <c r="G2" s="21"/>
      <c r="H2" s="21"/>
      <c r="I2" s="21"/>
      <c r="J2" s="21"/>
      <c r="K2" s="21"/>
      <c r="L2" s="21"/>
    </row>
    <row r="4" spans="2:12" x14ac:dyDescent="0.25">
      <c r="B4" s="27" t="s">
        <v>39</v>
      </c>
      <c r="C4" s="28" t="s">
        <v>5</v>
      </c>
    </row>
    <row r="5" spans="2:12" ht="55.3" x14ac:dyDescent="0.25">
      <c r="B5" s="85" t="s">
        <v>40</v>
      </c>
      <c r="C5" s="23" t="s">
        <v>41</v>
      </c>
    </row>
    <row r="6" spans="2:12" ht="46.55" customHeight="1" x14ac:dyDescent="0.25">
      <c r="B6" s="86" t="s">
        <v>42</v>
      </c>
      <c r="C6" s="24" t="s">
        <v>43</v>
      </c>
    </row>
    <row r="7" spans="2:12" ht="55.3" x14ac:dyDescent="0.25">
      <c r="B7" s="87" t="s">
        <v>44</v>
      </c>
      <c r="C7" s="25" t="s">
        <v>45</v>
      </c>
    </row>
    <row r="8" spans="2:12" ht="41.5" x14ac:dyDescent="0.25">
      <c r="B8" s="88" t="s">
        <v>46</v>
      </c>
      <c r="C8" s="25" t="s">
        <v>47</v>
      </c>
    </row>
    <row r="9" spans="2:12" ht="41.5" x14ac:dyDescent="0.25">
      <c r="B9" s="88" t="s">
        <v>48</v>
      </c>
      <c r="C9" s="25" t="s">
        <v>49</v>
      </c>
    </row>
    <row r="10" spans="2:12" x14ac:dyDescent="0.25">
      <c r="B10" s="87" t="s">
        <v>50</v>
      </c>
      <c r="C10" s="25" t="s">
        <v>51</v>
      </c>
    </row>
    <row r="11" spans="2:12" ht="110.6" x14ac:dyDescent="0.25">
      <c r="B11" s="87" t="s">
        <v>52</v>
      </c>
      <c r="C11" s="25" t="s">
        <v>53</v>
      </c>
    </row>
    <row r="12" spans="2:12" ht="55.3" x14ac:dyDescent="0.25">
      <c r="B12" s="87" t="s">
        <v>54</v>
      </c>
      <c r="C12" s="25" t="s">
        <v>55</v>
      </c>
    </row>
    <row r="13" spans="2:12" ht="41.5" x14ac:dyDescent="0.25">
      <c r="B13" s="87" t="s">
        <v>56</v>
      </c>
      <c r="C13" s="25" t="s">
        <v>57</v>
      </c>
    </row>
    <row r="14" spans="2:12" ht="41.5" x14ac:dyDescent="0.25">
      <c r="B14" s="88" t="s">
        <v>58</v>
      </c>
      <c r="C14" s="84" t="s">
        <v>59</v>
      </c>
    </row>
    <row r="15" spans="2:12" ht="27.65" x14ac:dyDescent="0.25">
      <c r="B15" s="88" t="s">
        <v>60</v>
      </c>
      <c r="C15" s="84" t="s">
        <v>61</v>
      </c>
    </row>
    <row r="16" spans="2:12" ht="55.3" x14ac:dyDescent="0.25">
      <c r="B16" s="88" t="s">
        <v>62</v>
      </c>
      <c r="C16" s="84" t="s">
        <v>63</v>
      </c>
    </row>
    <row r="17" spans="2:3" ht="27.65" x14ac:dyDescent="0.25">
      <c r="B17" s="88" t="s">
        <v>64</v>
      </c>
      <c r="C17" s="84" t="s">
        <v>65</v>
      </c>
    </row>
    <row r="18" spans="2:3" x14ac:dyDescent="0.25">
      <c r="B18" s="88" t="s">
        <v>66</v>
      </c>
      <c r="C18" s="84" t="s">
        <v>67</v>
      </c>
    </row>
    <row r="19" spans="2:3" ht="27.65" x14ac:dyDescent="0.25">
      <c r="B19" s="88" t="s">
        <v>68</v>
      </c>
      <c r="C19" s="84" t="s">
        <v>69</v>
      </c>
    </row>
    <row r="20" spans="2:3" ht="27.65" x14ac:dyDescent="0.25">
      <c r="B20" s="87" t="s">
        <v>70</v>
      </c>
      <c r="C20" s="25" t="s">
        <v>71</v>
      </c>
    </row>
    <row r="21" spans="2:3" ht="55.3" x14ac:dyDescent="0.25">
      <c r="B21" s="87" t="s">
        <v>72</v>
      </c>
      <c r="C21" s="25" t="s">
        <v>73</v>
      </c>
    </row>
    <row r="22" spans="2:3" ht="69.150000000000006" x14ac:dyDescent="0.25">
      <c r="B22" s="87" t="s">
        <v>74</v>
      </c>
      <c r="C22" s="25" t="s">
        <v>75</v>
      </c>
    </row>
    <row r="23" spans="2:3" ht="41.5" x14ac:dyDescent="0.25">
      <c r="B23" s="87" t="s">
        <v>76</v>
      </c>
      <c r="C23" s="25" t="s">
        <v>77</v>
      </c>
    </row>
    <row r="24" spans="2:3" ht="82.95" x14ac:dyDescent="0.25">
      <c r="B24" s="87" t="s">
        <v>78</v>
      </c>
      <c r="C24" s="25" t="s">
        <v>79</v>
      </c>
    </row>
    <row r="25" spans="2:3" ht="27.65" x14ac:dyDescent="0.25">
      <c r="B25" s="87" t="s">
        <v>80</v>
      </c>
      <c r="C25" s="25" t="s">
        <v>81</v>
      </c>
    </row>
    <row r="26" spans="2:3" ht="27.65" x14ac:dyDescent="0.25">
      <c r="B26" s="88" t="s">
        <v>82</v>
      </c>
      <c r="C26" s="84" t="s">
        <v>83</v>
      </c>
    </row>
    <row r="27" spans="2:3" ht="27.65" x14ac:dyDescent="0.25">
      <c r="B27" s="88" t="s">
        <v>84</v>
      </c>
      <c r="C27" s="84" t="s">
        <v>85</v>
      </c>
    </row>
    <row r="28" spans="2:3" ht="41.5" x14ac:dyDescent="0.25">
      <c r="B28" s="88" t="s">
        <v>27</v>
      </c>
      <c r="C28" s="84" t="s">
        <v>86</v>
      </c>
    </row>
    <row r="29" spans="2:3" ht="27.65" x14ac:dyDescent="0.25">
      <c r="B29" s="87" t="s">
        <v>87</v>
      </c>
      <c r="C29" s="25" t="s">
        <v>88</v>
      </c>
    </row>
    <row r="30" spans="2:3" ht="27.65" x14ac:dyDescent="0.25">
      <c r="B30" s="87" t="s">
        <v>89</v>
      </c>
      <c r="C30" s="25" t="s">
        <v>90</v>
      </c>
    </row>
    <row r="31" spans="2:3" ht="27.65" x14ac:dyDescent="0.25">
      <c r="B31" s="87" t="s">
        <v>91</v>
      </c>
      <c r="C31" s="25" t="s">
        <v>92</v>
      </c>
    </row>
    <row r="32" spans="2:3" ht="41.5" x14ac:dyDescent="0.25">
      <c r="B32" s="87" t="s">
        <v>93</v>
      </c>
      <c r="C32" s="25" t="s">
        <v>94</v>
      </c>
    </row>
    <row r="33" spans="2:3" ht="27.65" x14ac:dyDescent="0.25">
      <c r="B33" s="87" t="s">
        <v>95</v>
      </c>
      <c r="C33" s="25" t="s">
        <v>96</v>
      </c>
    </row>
    <row r="34" spans="2:3" ht="27.65" x14ac:dyDescent="0.25">
      <c r="B34" s="87" t="s">
        <v>97</v>
      </c>
      <c r="C34" s="25" t="s">
        <v>98</v>
      </c>
    </row>
    <row r="35" spans="2:3" ht="27.65" x14ac:dyDescent="0.25">
      <c r="B35" s="87" t="s">
        <v>99</v>
      </c>
      <c r="C35" s="25" t="s">
        <v>100</v>
      </c>
    </row>
    <row r="36" spans="2:3" ht="41.5" x14ac:dyDescent="0.25">
      <c r="B36" s="87" t="s">
        <v>101</v>
      </c>
      <c r="C36" s="25" t="s">
        <v>102</v>
      </c>
    </row>
    <row r="37" spans="2:3" ht="41.5" x14ac:dyDescent="0.25">
      <c r="B37" s="87" t="s">
        <v>103</v>
      </c>
      <c r="C37" s="25" t="s">
        <v>104</v>
      </c>
    </row>
    <row r="38" spans="2:3" ht="41.5" x14ac:dyDescent="0.25">
      <c r="B38" s="88" t="s">
        <v>105</v>
      </c>
      <c r="C38" s="84" t="s">
        <v>106</v>
      </c>
    </row>
    <row r="39" spans="2:3" ht="82.55" customHeight="1" x14ac:dyDescent="0.25">
      <c r="B39" s="88" t="s">
        <v>107</v>
      </c>
      <c r="C39" s="84" t="s">
        <v>108</v>
      </c>
    </row>
  </sheetData>
  <sortState xmlns:xlrd2="http://schemas.microsoft.com/office/spreadsheetml/2017/richdata2" ref="B5:C37">
    <sortCondition ref="B5:B37"/>
  </sortState>
  <mergeCells count="1">
    <mergeCell ref="B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4:O352"/>
  <sheetViews>
    <sheetView showGridLines="0" topLeftCell="C128" zoomScale="91" zoomScaleNormal="91" workbookViewId="0">
      <selection activeCell="F228" sqref="F228:F235"/>
    </sheetView>
  </sheetViews>
  <sheetFormatPr baseColWidth="10" defaultColWidth="3.109375" defaultRowHeight="0" customHeight="1" zeroHeight="1" x14ac:dyDescent="0.25"/>
  <cols>
    <col min="1" max="1" width="11.6640625" style="15" customWidth="1"/>
    <col min="2" max="2" width="3.5546875" style="110" hidden="1" customWidth="1"/>
    <col min="3" max="3" width="42.5546875" style="15" customWidth="1"/>
    <col min="4" max="4" width="36.109375" style="15" customWidth="1"/>
    <col min="5" max="5" width="41.109375" style="15" customWidth="1"/>
    <col min="6" max="6" width="8.109375" style="15" customWidth="1"/>
    <col min="7" max="7" width="3.5546875" style="15" bestFit="1" customWidth="1"/>
    <col min="8" max="8" width="46" style="15" customWidth="1"/>
    <col min="9" max="9" width="39.88671875" style="15" customWidth="1"/>
    <col min="10" max="10" width="7.44140625" style="15" customWidth="1"/>
    <col min="11" max="11" width="19" style="15" customWidth="1"/>
    <col min="12" max="12" width="3.109375" style="49" customWidth="1"/>
    <col min="13" max="13" width="7.33203125" style="49" customWidth="1"/>
    <col min="14" max="14" width="12.33203125" style="81" customWidth="1"/>
    <col min="15" max="15" width="12.33203125" style="107" customWidth="1"/>
    <col min="16" max="16364" width="3.109375" style="15" customWidth="1"/>
    <col min="16365" max="16384" width="3.109375" style="15"/>
  </cols>
  <sheetData>
    <row r="4" spans="5:10" ht="9.9499999999999993" customHeight="1" x14ac:dyDescent="0.25"/>
    <row r="5" spans="5:10" ht="9.9499999999999993" customHeight="1" x14ac:dyDescent="0.25"/>
    <row r="6" spans="5:10" ht="9.9499999999999993" customHeight="1" x14ac:dyDescent="0.25"/>
    <row r="7" spans="5:10" ht="9.9499999999999993" customHeight="1" x14ac:dyDescent="0.25"/>
    <row r="8" spans="5:10" ht="9.9499999999999993" customHeight="1" x14ac:dyDescent="0.25"/>
    <row r="9" spans="5:10" ht="9.9499999999999993" customHeight="1" x14ac:dyDescent="0.25"/>
    <row r="10" spans="5:10" ht="9.9499999999999993" customHeight="1" x14ac:dyDescent="0.25"/>
    <row r="11" spans="5:10" ht="9.9499999999999993" customHeight="1" x14ac:dyDescent="0.25"/>
    <row r="12" spans="5:10" ht="9.9499999999999993" customHeight="1" x14ac:dyDescent="0.25"/>
    <row r="13" spans="5:10" ht="9.9499999999999993" customHeight="1" x14ac:dyDescent="0.25">
      <c r="E13" s="273"/>
      <c r="F13" s="274"/>
      <c r="G13" s="274"/>
      <c r="H13" s="274"/>
      <c r="I13" s="274"/>
      <c r="J13" s="274"/>
    </row>
    <row r="14" spans="5:10" ht="31.55" customHeight="1" x14ac:dyDescent="0.25">
      <c r="E14" s="273"/>
      <c r="F14" s="274"/>
      <c r="G14" s="274"/>
      <c r="H14" s="274"/>
      <c r="I14" s="274"/>
      <c r="J14" s="274"/>
    </row>
    <row r="15" spans="5:10" ht="24.8" customHeight="1" x14ac:dyDescent="0.25">
      <c r="E15" s="56"/>
      <c r="F15" s="275"/>
      <c r="G15" s="275"/>
      <c r="H15" s="275"/>
      <c r="I15" s="275"/>
      <c r="J15" s="275"/>
    </row>
    <row r="16" spans="5:10" ht="20.3" customHeight="1" x14ac:dyDescent="0.25"/>
    <row r="17" spans="1:15" ht="9.9499999999999993" customHeight="1" x14ac:dyDescent="0.25"/>
    <row r="18" spans="1:15" ht="20.2" customHeight="1" x14ac:dyDescent="0.25">
      <c r="C18" s="310" t="s">
        <v>109</v>
      </c>
      <c r="D18" s="310"/>
      <c r="E18" s="310"/>
      <c r="F18" s="310"/>
      <c r="G18" s="310"/>
      <c r="H18" s="310"/>
      <c r="I18" s="310"/>
      <c r="J18" s="310"/>
      <c r="K18" s="310"/>
    </row>
    <row r="19" spans="1:15" ht="60.05" customHeight="1" x14ac:dyDescent="0.25">
      <c r="C19" s="311" t="s">
        <v>110</v>
      </c>
      <c r="D19" s="311"/>
      <c r="E19" s="311"/>
      <c r="F19" s="311"/>
      <c r="G19" s="311"/>
      <c r="H19" s="311"/>
      <c r="I19" s="311"/>
      <c r="J19" s="311"/>
      <c r="K19" s="311"/>
    </row>
    <row r="20" spans="1:15" ht="9.9499999999999993" customHeight="1" thickBot="1" x14ac:dyDescent="0.3">
      <c r="B20" s="111"/>
      <c r="C20" s="16"/>
      <c r="D20" s="16"/>
      <c r="F20" s="17"/>
    </row>
    <row r="21" spans="1:15" ht="36.75" customHeight="1" x14ac:dyDescent="0.25">
      <c r="B21" s="258" t="s">
        <v>111</v>
      </c>
      <c r="C21" s="297" t="s">
        <v>112</v>
      </c>
      <c r="D21" s="239" t="s">
        <v>113</v>
      </c>
      <c r="E21" s="309" t="s">
        <v>114</v>
      </c>
      <c r="F21" s="263" t="s">
        <v>115</v>
      </c>
      <c r="G21" s="279" t="s">
        <v>116</v>
      </c>
      <c r="H21" s="280"/>
      <c r="I21" s="281"/>
      <c r="J21" s="263" t="s">
        <v>117</v>
      </c>
      <c r="K21" s="263" t="s">
        <v>118</v>
      </c>
      <c r="L21" s="249"/>
      <c r="M21" s="249"/>
      <c r="N21" s="211"/>
      <c r="O21" s="213"/>
    </row>
    <row r="22" spans="1:15" ht="29.25" customHeight="1" x14ac:dyDescent="0.25">
      <c r="B22" s="258"/>
      <c r="C22" s="297"/>
      <c r="D22" s="240"/>
      <c r="E22" s="240"/>
      <c r="F22" s="263"/>
      <c r="G22" s="276" t="s">
        <v>13</v>
      </c>
      <c r="H22" s="278" t="s">
        <v>15</v>
      </c>
      <c r="I22" s="239" t="s">
        <v>17</v>
      </c>
      <c r="J22" s="263"/>
      <c r="K22" s="263"/>
      <c r="L22" s="249"/>
      <c r="M22" s="249"/>
      <c r="N22" s="211"/>
      <c r="O22" s="213"/>
    </row>
    <row r="23" spans="1:15" ht="79.5" customHeight="1" x14ac:dyDescent="0.25">
      <c r="B23" s="259"/>
      <c r="C23" s="298"/>
      <c r="D23" s="240"/>
      <c r="E23" s="240"/>
      <c r="F23" s="264"/>
      <c r="G23" s="277"/>
      <c r="H23" s="239"/>
      <c r="I23" s="240"/>
      <c r="J23" s="264"/>
      <c r="K23" s="264"/>
      <c r="L23" s="249"/>
      <c r="M23" s="249"/>
      <c r="N23" s="211"/>
      <c r="O23" s="213"/>
    </row>
    <row r="24" spans="1:15" ht="92.3" customHeight="1" x14ac:dyDescent="0.25">
      <c r="A24" s="315" t="s">
        <v>119</v>
      </c>
      <c r="B24" s="257" t="str">
        <f>+LEFT(C24,3)</f>
        <v xml:space="preserve"> Ap</v>
      </c>
      <c r="C24" s="282" t="s">
        <v>120</v>
      </c>
      <c r="D24" s="282" t="s">
        <v>121</v>
      </c>
      <c r="E24" s="282" t="s">
        <v>122</v>
      </c>
      <c r="F24" s="305">
        <v>2</v>
      </c>
      <c r="G24" s="93">
        <v>1</v>
      </c>
      <c r="H24" s="140" t="s">
        <v>123</v>
      </c>
      <c r="I24" s="282" t="s">
        <v>124</v>
      </c>
      <c r="J24" s="305">
        <v>2</v>
      </c>
      <c r="K24" s="265"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247"/>
      <c r="M24" s="247"/>
      <c r="N24" s="201"/>
      <c r="O24" s="212"/>
    </row>
    <row r="25" spans="1:15" s="18" customFormat="1" ht="79.5" customHeight="1" x14ac:dyDescent="0.25">
      <c r="A25" s="315"/>
      <c r="B25" s="257"/>
      <c r="C25" s="282"/>
      <c r="D25" s="282"/>
      <c r="E25" s="282"/>
      <c r="F25" s="305"/>
      <c r="G25" s="93">
        <v>2</v>
      </c>
      <c r="H25" s="140" t="s">
        <v>125</v>
      </c>
      <c r="I25" s="282"/>
      <c r="J25" s="305"/>
      <c r="K25" s="265"/>
      <c r="L25" s="247"/>
      <c r="M25" s="247"/>
      <c r="N25" s="201"/>
      <c r="O25" s="212"/>
    </row>
    <row r="26" spans="1:15" s="18" customFormat="1" ht="75.05" customHeight="1" x14ac:dyDescent="0.25">
      <c r="A26" s="315"/>
      <c r="B26" s="257"/>
      <c r="C26" s="282"/>
      <c r="D26" s="282"/>
      <c r="E26" s="282"/>
      <c r="F26" s="305"/>
      <c r="G26" s="93">
        <v>3</v>
      </c>
      <c r="H26" s="140" t="s">
        <v>126</v>
      </c>
      <c r="I26" s="282"/>
      <c r="J26" s="305"/>
      <c r="K26" s="265"/>
      <c r="L26" s="247"/>
      <c r="M26" s="247"/>
      <c r="N26" s="201"/>
      <c r="O26" s="212"/>
    </row>
    <row r="27" spans="1:15" s="18" customFormat="1" ht="13.85" x14ac:dyDescent="0.25">
      <c r="A27" s="315"/>
      <c r="B27" s="257"/>
      <c r="C27" s="282"/>
      <c r="D27" s="282"/>
      <c r="E27" s="282"/>
      <c r="F27" s="305"/>
      <c r="G27" s="93">
        <v>4</v>
      </c>
      <c r="H27" s="94"/>
      <c r="I27" s="282"/>
      <c r="J27" s="305"/>
      <c r="K27" s="265"/>
      <c r="L27" s="247"/>
      <c r="M27" s="247"/>
      <c r="N27" s="201"/>
      <c r="O27" s="212"/>
    </row>
    <row r="28" spans="1:15" s="18" customFormat="1" ht="13.85" x14ac:dyDescent="0.25">
      <c r="A28" s="315"/>
      <c r="B28" s="257"/>
      <c r="C28" s="282"/>
      <c r="D28" s="282"/>
      <c r="E28" s="282"/>
      <c r="F28" s="305"/>
      <c r="G28" s="93">
        <v>5</v>
      </c>
      <c r="H28" s="94"/>
      <c r="I28" s="282"/>
      <c r="J28" s="305"/>
      <c r="K28" s="265"/>
      <c r="L28" s="247"/>
      <c r="M28" s="247"/>
      <c r="N28" s="201"/>
      <c r="O28" s="212"/>
    </row>
    <row r="29" spans="1:15" s="18" customFormat="1" ht="13.85" x14ac:dyDescent="0.25">
      <c r="A29" s="315"/>
      <c r="B29" s="257"/>
      <c r="C29" s="282"/>
      <c r="D29" s="282"/>
      <c r="E29" s="282"/>
      <c r="F29" s="305"/>
      <c r="G29" s="93">
        <v>6</v>
      </c>
      <c r="H29" s="94"/>
      <c r="I29" s="282"/>
      <c r="J29" s="305"/>
      <c r="K29" s="265"/>
      <c r="L29" s="247"/>
      <c r="M29" s="247"/>
      <c r="N29" s="201"/>
      <c r="O29" s="212"/>
    </row>
    <row r="30" spans="1:15" s="18" customFormat="1" ht="13.85" x14ac:dyDescent="0.25">
      <c r="A30" s="315"/>
      <c r="B30" s="257"/>
      <c r="C30" s="282"/>
      <c r="D30" s="282"/>
      <c r="E30" s="282"/>
      <c r="F30" s="305"/>
      <c r="G30" s="93">
        <v>7</v>
      </c>
      <c r="H30" s="94"/>
      <c r="I30" s="282"/>
      <c r="J30" s="305"/>
      <c r="K30" s="265"/>
      <c r="L30" s="247"/>
      <c r="M30" s="247"/>
      <c r="N30" s="201"/>
      <c r="O30" s="212"/>
    </row>
    <row r="31" spans="1:15" s="18" customFormat="1" ht="119.95" customHeight="1" x14ac:dyDescent="0.25">
      <c r="A31" s="315"/>
      <c r="B31" s="257"/>
      <c r="C31" s="282"/>
      <c r="D31" s="282"/>
      <c r="E31" s="282"/>
      <c r="F31" s="305"/>
      <c r="G31" s="93">
        <v>8</v>
      </c>
      <c r="H31" s="94"/>
      <c r="I31" s="282"/>
      <c r="J31" s="305"/>
      <c r="K31" s="265"/>
      <c r="L31" s="247"/>
      <c r="M31" s="247"/>
      <c r="N31" s="201"/>
      <c r="O31" s="212"/>
    </row>
    <row r="32" spans="1:15" s="18" customFormat="1" ht="16.600000000000001" customHeight="1" x14ac:dyDescent="0.25">
      <c r="B32" s="262" t="str">
        <f>+LEFT(C32,3)</f>
        <v>1.1</v>
      </c>
      <c r="C32" s="312" t="s">
        <v>127</v>
      </c>
      <c r="D32" s="300" t="s">
        <v>121</v>
      </c>
      <c r="E32" s="206" t="s">
        <v>353</v>
      </c>
      <c r="F32" s="313">
        <v>3</v>
      </c>
      <c r="G32" s="113">
        <v>1</v>
      </c>
      <c r="H32" s="114"/>
      <c r="I32" s="306" t="s">
        <v>342</v>
      </c>
      <c r="J32" s="203">
        <v>3</v>
      </c>
      <c r="K32" s="316" t="str">
        <f t="shared" ref="K32" si="0">+IF(OR(ISBLANK(F32),ISBLANK(J32)),"",IF(OR(AND(F32=1,J32=1),AND(F32=1,J32=2),AND(F32=1,J32=3)),"Deficiencia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47">
        <f>+IF(K32="",0,IF(K32="Deficiencia de control mayor (diseño y ejecución)",4,IF(K32="Deficiencia de control (diseño o ejecución)",20,IF(K32="Oportunidad de mejora",40,60))))</f>
        <v>60</v>
      </c>
      <c r="M32" s="247">
        <v>4.5870000000000001E-2</v>
      </c>
      <c r="N32" s="201">
        <f>+L32+M32</f>
        <v>60.045870000000001</v>
      </c>
      <c r="O32" s="212"/>
    </row>
    <row r="33" spans="2:15" s="18" customFormat="1" ht="13.85" x14ac:dyDescent="0.25">
      <c r="B33" s="251"/>
      <c r="C33" s="232"/>
      <c r="D33" s="300"/>
      <c r="E33" s="206"/>
      <c r="F33" s="313"/>
      <c r="G33" s="115">
        <v>2</v>
      </c>
      <c r="H33" s="116" t="s">
        <v>355</v>
      </c>
      <c r="I33" s="307"/>
      <c r="J33" s="203"/>
      <c r="K33" s="267"/>
      <c r="L33" s="247"/>
      <c r="M33" s="247"/>
      <c r="N33" s="201"/>
      <c r="O33" s="212"/>
    </row>
    <row r="34" spans="2:15" s="18" customFormat="1" ht="34.6" customHeight="1" x14ac:dyDescent="0.25">
      <c r="B34" s="251"/>
      <c r="C34" s="232"/>
      <c r="D34" s="300"/>
      <c r="E34" s="206"/>
      <c r="F34" s="313"/>
      <c r="G34" s="115">
        <v>3</v>
      </c>
      <c r="H34" s="116" t="s">
        <v>354</v>
      </c>
      <c r="I34" s="307"/>
      <c r="J34" s="203"/>
      <c r="K34" s="267"/>
      <c r="L34" s="247"/>
      <c r="M34" s="247"/>
      <c r="N34" s="201"/>
      <c r="O34" s="212"/>
    </row>
    <row r="35" spans="2:15" s="18" customFormat="1" ht="13.85" x14ac:dyDescent="0.25">
      <c r="B35" s="251"/>
      <c r="C35" s="232"/>
      <c r="D35" s="300"/>
      <c r="E35" s="206"/>
      <c r="F35" s="313"/>
      <c r="G35" s="115">
        <v>4</v>
      </c>
      <c r="H35" s="117"/>
      <c r="I35" s="307"/>
      <c r="J35" s="203"/>
      <c r="K35" s="267"/>
      <c r="L35" s="247"/>
      <c r="M35" s="247"/>
      <c r="N35" s="201"/>
      <c r="O35" s="212"/>
    </row>
    <row r="36" spans="2:15" s="18" customFormat="1" ht="13.85" x14ac:dyDescent="0.25">
      <c r="B36" s="251"/>
      <c r="C36" s="232"/>
      <c r="D36" s="300"/>
      <c r="E36" s="206"/>
      <c r="F36" s="313"/>
      <c r="G36" s="115">
        <v>5</v>
      </c>
      <c r="H36" s="117"/>
      <c r="I36" s="307"/>
      <c r="J36" s="203"/>
      <c r="K36" s="267"/>
      <c r="L36" s="247"/>
      <c r="M36" s="247"/>
      <c r="N36" s="201"/>
      <c r="O36" s="212"/>
    </row>
    <row r="37" spans="2:15" s="18" customFormat="1" ht="13.85" x14ac:dyDescent="0.25">
      <c r="B37" s="251"/>
      <c r="C37" s="232"/>
      <c r="D37" s="300"/>
      <c r="E37" s="206"/>
      <c r="F37" s="313"/>
      <c r="G37" s="115">
        <v>6</v>
      </c>
      <c r="H37" s="117"/>
      <c r="I37" s="307"/>
      <c r="J37" s="203"/>
      <c r="K37" s="267"/>
      <c r="L37" s="247"/>
      <c r="M37" s="247"/>
      <c r="N37" s="201"/>
      <c r="O37" s="212"/>
    </row>
    <row r="38" spans="2:15" s="18" customFormat="1" ht="13.85" x14ac:dyDescent="0.25">
      <c r="B38" s="251"/>
      <c r="C38" s="232"/>
      <c r="D38" s="300"/>
      <c r="E38" s="206"/>
      <c r="F38" s="313"/>
      <c r="G38" s="115">
        <v>7</v>
      </c>
      <c r="H38" s="117"/>
      <c r="I38" s="307"/>
      <c r="J38" s="203"/>
      <c r="K38" s="267"/>
      <c r="L38" s="247"/>
      <c r="M38" s="247"/>
      <c r="N38" s="201"/>
      <c r="O38" s="212"/>
    </row>
    <row r="39" spans="2:15" s="18" customFormat="1" ht="14.4" thickBot="1" x14ac:dyDescent="0.3">
      <c r="B39" s="252"/>
      <c r="C39" s="233"/>
      <c r="D39" s="301"/>
      <c r="E39" s="207"/>
      <c r="F39" s="314"/>
      <c r="G39" s="118">
        <v>8</v>
      </c>
      <c r="H39" s="119"/>
      <c r="I39" s="308"/>
      <c r="J39" s="204"/>
      <c r="K39" s="268"/>
      <c r="L39" s="247"/>
      <c r="M39" s="247"/>
      <c r="N39" s="201"/>
      <c r="O39" s="212"/>
    </row>
    <row r="40" spans="2:15" s="18" customFormat="1" ht="16.600000000000001" customHeight="1" x14ac:dyDescent="0.25">
      <c r="B40" s="250" t="str">
        <f>+LEFT(C40,3)</f>
        <v>1.2</v>
      </c>
      <c r="C40" s="231" t="s">
        <v>128</v>
      </c>
      <c r="D40" s="299" t="s">
        <v>121</v>
      </c>
      <c r="E40" s="222" t="s">
        <v>356</v>
      </c>
      <c r="F40" s="222">
        <v>2</v>
      </c>
      <c r="G40" s="113">
        <v>1</v>
      </c>
      <c r="H40" s="137"/>
      <c r="I40" s="202" t="s">
        <v>359</v>
      </c>
      <c r="J40" s="234">
        <v>2</v>
      </c>
      <c r="K40" s="266" t="str">
        <f t="shared" ref="K40" si="1">+IF(OR(ISBLANK(F40),ISBLANK(J40)),"",IF(OR(AND(F40=1,J40=1),AND(F40=1,J40=2),AND(F40=1,J40=3)),"Deficiencia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247">
        <f t="shared" ref="L40" si="2">+IF(K40="",0,IF(K40="Deficiencia de control mayor (diseño y ejecución)",4,IF(K40="Deficiencia de control (diseño o ejecución)",20,IF(K40="Oportunidad de mejora",40,60))))</f>
        <v>20</v>
      </c>
      <c r="M40" s="247">
        <v>5.5690000000000003E-2</v>
      </c>
      <c r="N40" s="201">
        <f t="shared" ref="N40" si="3">+L40+M40</f>
        <v>20.055689999999998</v>
      </c>
      <c r="O40" s="212"/>
    </row>
    <row r="41" spans="2:15" s="18" customFormat="1" ht="13.85" x14ac:dyDescent="0.25">
      <c r="B41" s="251"/>
      <c r="C41" s="232"/>
      <c r="D41" s="300"/>
      <c r="E41" s="223"/>
      <c r="F41" s="223"/>
      <c r="G41" s="115">
        <v>2</v>
      </c>
      <c r="H41" s="138" t="s">
        <v>357</v>
      </c>
      <c r="I41" s="203"/>
      <c r="J41" s="235"/>
      <c r="K41" s="267"/>
      <c r="L41" s="247"/>
      <c r="M41" s="247"/>
      <c r="N41" s="201"/>
      <c r="O41" s="212"/>
    </row>
    <row r="42" spans="2:15" s="18" customFormat="1" ht="13.85" x14ac:dyDescent="0.25">
      <c r="B42" s="251"/>
      <c r="C42" s="232"/>
      <c r="D42" s="300"/>
      <c r="E42" s="223"/>
      <c r="F42" s="223"/>
      <c r="G42" s="115">
        <v>3</v>
      </c>
      <c r="H42" s="138"/>
      <c r="I42" s="203"/>
      <c r="J42" s="235"/>
      <c r="K42" s="267"/>
      <c r="L42" s="247"/>
      <c r="M42" s="247"/>
      <c r="N42" s="201"/>
      <c r="O42" s="212"/>
    </row>
    <row r="43" spans="2:15" s="18" customFormat="1" ht="13.85" x14ac:dyDescent="0.25">
      <c r="B43" s="251"/>
      <c r="C43" s="232"/>
      <c r="D43" s="300"/>
      <c r="E43" s="223"/>
      <c r="F43" s="223"/>
      <c r="G43" s="115">
        <v>4</v>
      </c>
      <c r="H43" s="138" t="s">
        <v>358</v>
      </c>
      <c r="I43" s="203"/>
      <c r="J43" s="235"/>
      <c r="K43" s="267"/>
      <c r="L43" s="247"/>
      <c r="M43" s="247"/>
      <c r="N43" s="201"/>
      <c r="O43" s="212"/>
    </row>
    <row r="44" spans="2:15" s="18" customFormat="1" ht="13.85" x14ac:dyDescent="0.25">
      <c r="B44" s="251"/>
      <c r="C44" s="232"/>
      <c r="D44" s="300"/>
      <c r="E44" s="223"/>
      <c r="F44" s="223"/>
      <c r="G44" s="115">
        <v>5</v>
      </c>
      <c r="H44" s="138"/>
      <c r="I44" s="203"/>
      <c r="J44" s="235"/>
      <c r="K44" s="267"/>
      <c r="L44" s="247"/>
      <c r="M44" s="247"/>
      <c r="N44" s="201"/>
      <c r="O44" s="212"/>
    </row>
    <row r="45" spans="2:15" s="18" customFormat="1" ht="13.85" x14ac:dyDescent="0.25">
      <c r="B45" s="251"/>
      <c r="C45" s="232"/>
      <c r="D45" s="300"/>
      <c r="E45" s="223"/>
      <c r="F45" s="223"/>
      <c r="G45" s="115">
        <v>6</v>
      </c>
      <c r="H45" s="138"/>
      <c r="I45" s="203"/>
      <c r="J45" s="235"/>
      <c r="K45" s="267"/>
      <c r="L45" s="247"/>
      <c r="M45" s="247"/>
      <c r="N45" s="201"/>
      <c r="O45" s="212"/>
    </row>
    <row r="46" spans="2:15" s="18" customFormat="1" ht="13.85" x14ac:dyDescent="0.25">
      <c r="B46" s="251"/>
      <c r="C46" s="232"/>
      <c r="D46" s="300"/>
      <c r="E46" s="223"/>
      <c r="F46" s="223"/>
      <c r="G46" s="115">
        <v>7</v>
      </c>
      <c r="H46" s="138"/>
      <c r="I46" s="203"/>
      <c r="J46" s="235"/>
      <c r="K46" s="267"/>
      <c r="L46" s="247"/>
      <c r="M46" s="247"/>
      <c r="N46" s="201"/>
      <c r="O46" s="212"/>
    </row>
    <row r="47" spans="2:15" s="18" customFormat="1" ht="14.4" thickBot="1" x14ac:dyDescent="0.3">
      <c r="B47" s="252"/>
      <c r="C47" s="233"/>
      <c r="D47" s="301"/>
      <c r="E47" s="224"/>
      <c r="F47" s="224"/>
      <c r="G47" s="120">
        <v>8</v>
      </c>
      <c r="H47" s="139"/>
      <c r="I47" s="204"/>
      <c r="J47" s="236"/>
      <c r="K47" s="268"/>
      <c r="L47" s="247"/>
      <c r="M47" s="247"/>
      <c r="N47" s="201"/>
      <c r="O47" s="212"/>
    </row>
    <row r="48" spans="2:15" s="18" customFormat="1" ht="16.600000000000001" customHeight="1" x14ac:dyDescent="0.25">
      <c r="B48" s="250" t="str">
        <f>+LEFT(C48,3)</f>
        <v>1.3</v>
      </c>
      <c r="C48" s="231" t="s">
        <v>129</v>
      </c>
      <c r="D48" s="299" t="s">
        <v>130</v>
      </c>
      <c r="E48" s="288" t="s">
        <v>360</v>
      </c>
      <c r="F48" s="222">
        <v>3</v>
      </c>
      <c r="G48" s="121">
        <v>1</v>
      </c>
      <c r="H48" s="137"/>
      <c r="I48" s="205" t="s">
        <v>361</v>
      </c>
      <c r="J48" s="234">
        <v>2</v>
      </c>
      <c r="K48" s="266" t="str">
        <f t="shared" ref="K48" si="4">+IF(OR(ISBLANK(F48),ISBLANK(J48)),"",IF(OR(AND(F48=1,J48=1),AND(F48=1,J48=2),AND(F48=1,J48=3)),"Deficiencia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247">
        <f t="shared" ref="L48" si="5">+IF(K48="",0,IF(K48="Deficiencia de control mayor (diseño y ejecución)",4,IF(K48="Deficiencia de control (diseño o ejecución)",20,IF(K48="Oportunidad de mejora",40,60))))</f>
        <v>20</v>
      </c>
      <c r="M48" s="247">
        <v>6.6895999999999997E-2</v>
      </c>
      <c r="N48" s="208">
        <f t="shared" ref="N48" si="6">+L48+M48</f>
        <v>20.066896</v>
      </c>
      <c r="O48" s="214"/>
    </row>
    <row r="49" spans="2:15" s="18" customFormat="1" ht="13.85" x14ac:dyDescent="0.25">
      <c r="B49" s="251"/>
      <c r="C49" s="232"/>
      <c r="D49" s="300"/>
      <c r="E49" s="223"/>
      <c r="F49" s="223"/>
      <c r="G49" s="115">
        <v>2</v>
      </c>
      <c r="H49" s="138"/>
      <c r="I49" s="206"/>
      <c r="J49" s="235"/>
      <c r="K49" s="267"/>
      <c r="L49" s="247"/>
      <c r="M49" s="247"/>
      <c r="N49" s="208"/>
      <c r="O49" s="214"/>
    </row>
    <row r="50" spans="2:15" s="18" customFormat="1" ht="13.85" x14ac:dyDescent="0.25">
      <c r="B50" s="251"/>
      <c r="C50" s="232"/>
      <c r="D50" s="300"/>
      <c r="E50" s="223"/>
      <c r="F50" s="223"/>
      <c r="G50" s="115">
        <v>3</v>
      </c>
      <c r="H50" s="151" t="s">
        <v>361</v>
      </c>
      <c r="I50" s="206"/>
      <c r="J50" s="235"/>
      <c r="K50" s="267"/>
      <c r="L50" s="247"/>
      <c r="M50" s="247"/>
      <c r="N50" s="208"/>
      <c r="O50" s="214"/>
    </row>
    <row r="51" spans="2:15" s="18" customFormat="1" ht="13.85" x14ac:dyDescent="0.25">
      <c r="B51" s="251"/>
      <c r="C51" s="232"/>
      <c r="D51" s="300"/>
      <c r="E51" s="223"/>
      <c r="F51" s="223"/>
      <c r="G51" s="115">
        <v>4</v>
      </c>
      <c r="H51" s="138"/>
      <c r="I51" s="206"/>
      <c r="J51" s="235"/>
      <c r="K51" s="267"/>
      <c r="L51" s="247"/>
      <c r="M51" s="247"/>
      <c r="N51" s="208"/>
      <c r="O51" s="214"/>
    </row>
    <row r="52" spans="2:15" s="18" customFormat="1" ht="13.85" x14ac:dyDescent="0.25">
      <c r="B52" s="251"/>
      <c r="C52" s="232"/>
      <c r="D52" s="300"/>
      <c r="E52" s="223"/>
      <c r="F52" s="223"/>
      <c r="G52" s="115">
        <v>5</v>
      </c>
      <c r="H52" s="138"/>
      <c r="I52" s="206"/>
      <c r="J52" s="235"/>
      <c r="K52" s="267"/>
      <c r="L52" s="247"/>
      <c r="M52" s="247"/>
      <c r="N52" s="208"/>
      <c r="O52" s="214"/>
    </row>
    <row r="53" spans="2:15" s="18" customFormat="1" ht="13.85" x14ac:dyDescent="0.25">
      <c r="B53" s="251"/>
      <c r="C53" s="232"/>
      <c r="D53" s="300"/>
      <c r="E53" s="223"/>
      <c r="F53" s="223"/>
      <c r="G53" s="115">
        <v>6</v>
      </c>
      <c r="H53" s="138"/>
      <c r="I53" s="206"/>
      <c r="J53" s="235"/>
      <c r="K53" s="267"/>
      <c r="L53" s="247"/>
      <c r="M53" s="247"/>
      <c r="N53" s="208"/>
      <c r="O53" s="214"/>
    </row>
    <row r="54" spans="2:15" s="18" customFormat="1" ht="13.85" x14ac:dyDescent="0.25">
      <c r="B54" s="251"/>
      <c r="C54" s="232"/>
      <c r="D54" s="300"/>
      <c r="E54" s="223"/>
      <c r="F54" s="223"/>
      <c r="G54" s="115">
        <v>7</v>
      </c>
      <c r="H54" s="138"/>
      <c r="I54" s="206"/>
      <c r="J54" s="235"/>
      <c r="K54" s="267"/>
      <c r="L54" s="247"/>
      <c r="M54" s="247"/>
      <c r="N54" s="208"/>
      <c r="O54" s="214"/>
    </row>
    <row r="55" spans="2:15" s="18" customFormat="1" ht="14.4" thickBot="1" x14ac:dyDescent="0.3">
      <c r="B55" s="252"/>
      <c r="C55" s="233"/>
      <c r="D55" s="301"/>
      <c r="E55" s="224"/>
      <c r="F55" s="224"/>
      <c r="G55" s="120">
        <v>8</v>
      </c>
      <c r="H55" s="139"/>
      <c r="I55" s="207"/>
      <c r="J55" s="236"/>
      <c r="K55" s="268"/>
      <c r="L55" s="247"/>
      <c r="M55" s="247"/>
      <c r="N55" s="208"/>
      <c r="O55" s="214"/>
    </row>
    <row r="56" spans="2:15" s="18" customFormat="1" ht="16.600000000000001" customHeight="1" x14ac:dyDescent="0.25">
      <c r="B56" s="250" t="str">
        <f>+LEFT(C56,3)</f>
        <v>1.4</v>
      </c>
      <c r="C56" s="216" t="s">
        <v>131</v>
      </c>
      <c r="D56" s="219" t="s">
        <v>132</v>
      </c>
      <c r="E56" s="202" t="s">
        <v>446</v>
      </c>
      <c r="F56" s="222">
        <v>2</v>
      </c>
      <c r="G56" s="121">
        <v>1</v>
      </c>
      <c r="H56" s="137"/>
      <c r="I56" s="205" t="s">
        <v>361</v>
      </c>
      <c r="J56" s="202">
        <v>2</v>
      </c>
      <c r="K56" s="225" t="str">
        <f t="shared" ref="K56" si="7">+IF(OR(ISBLANK(F56),ISBLANK(J56)),"",IF(OR(AND(F56=1,J56=1),AND(F56=1,J56=2),AND(F56=1,J56=3)),"Deficiencia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247">
        <f t="shared" ref="L56" si="8">+IF(K56="",0,IF(K56="Deficiencia de control mayor (diseño y ejecución)",4,IF(K56="Deficiencia de control (diseño o ejecución)",20,IF(K56="Oportunidad de mejora",40,60))))</f>
        <v>20</v>
      </c>
      <c r="M56" s="247">
        <v>6.6909999999999997E-2</v>
      </c>
      <c r="N56" s="209">
        <f>+L56+M56</f>
        <v>20.06691</v>
      </c>
      <c r="O56" s="215"/>
    </row>
    <row r="57" spans="2:15" s="18" customFormat="1" ht="33" customHeight="1" x14ac:dyDescent="0.25">
      <c r="B57" s="251"/>
      <c r="C57" s="217"/>
      <c r="D57" s="220"/>
      <c r="E57" s="203"/>
      <c r="F57" s="223"/>
      <c r="G57" s="115">
        <v>2</v>
      </c>
      <c r="H57" s="156" t="s">
        <v>362</v>
      </c>
      <c r="I57" s="206"/>
      <c r="J57" s="203"/>
      <c r="K57" s="226"/>
      <c r="L57" s="247"/>
      <c r="M57" s="247"/>
      <c r="N57" s="209"/>
      <c r="O57" s="215"/>
    </row>
    <row r="58" spans="2:15" s="18" customFormat="1" ht="13.85" x14ac:dyDescent="0.25">
      <c r="B58" s="251"/>
      <c r="C58" s="217"/>
      <c r="D58" s="220"/>
      <c r="E58" s="203"/>
      <c r="F58" s="223"/>
      <c r="G58" s="115">
        <v>3</v>
      </c>
      <c r="H58" s="138"/>
      <c r="I58" s="206"/>
      <c r="J58" s="203"/>
      <c r="K58" s="226"/>
      <c r="L58" s="247"/>
      <c r="M58" s="247"/>
      <c r="N58" s="209"/>
      <c r="O58" s="215"/>
    </row>
    <row r="59" spans="2:15" s="18" customFormat="1" ht="13.85" x14ac:dyDescent="0.25">
      <c r="B59" s="251"/>
      <c r="C59" s="217"/>
      <c r="D59" s="220"/>
      <c r="E59" s="203"/>
      <c r="F59" s="223"/>
      <c r="G59" s="115">
        <v>4</v>
      </c>
      <c r="H59" s="138"/>
      <c r="I59" s="206"/>
      <c r="J59" s="203"/>
      <c r="K59" s="226"/>
      <c r="L59" s="247"/>
      <c r="M59" s="247"/>
      <c r="N59" s="209"/>
      <c r="O59" s="215"/>
    </row>
    <row r="60" spans="2:15" s="18" customFormat="1" ht="13.85" x14ac:dyDescent="0.25">
      <c r="B60" s="251"/>
      <c r="C60" s="217"/>
      <c r="D60" s="220"/>
      <c r="E60" s="203"/>
      <c r="F60" s="223"/>
      <c r="G60" s="115">
        <v>5</v>
      </c>
      <c r="H60" s="138"/>
      <c r="I60" s="206"/>
      <c r="J60" s="203"/>
      <c r="K60" s="226"/>
      <c r="L60" s="247"/>
      <c r="M60" s="247"/>
      <c r="N60" s="209"/>
      <c r="O60" s="215"/>
    </row>
    <row r="61" spans="2:15" s="18" customFormat="1" ht="13.85" x14ac:dyDescent="0.25">
      <c r="B61" s="251"/>
      <c r="C61" s="217"/>
      <c r="D61" s="220"/>
      <c r="E61" s="203"/>
      <c r="F61" s="223"/>
      <c r="G61" s="115">
        <v>6</v>
      </c>
      <c r="H61" s="138"/>
      <c r="I61" s="206"/>
      <c r="J61" s="203"/>
      <c r="K61" s="226"/>
      <c r="L61" s="247"/>
      <c r="M61" s="247"/>
      <c r="N61" s="209"/>
      <c r="O61" s="215"/>
    </row>
    <row r="62" spans="2:15" s="18" customFormat="1" ht="13.85" x14ac:dyDescent="0.25">
      <c r="B62" s="251"/>
      <c r="C62" s="217"/>
      <c r="D62" s="220"/>
      <c r="E62" s="203"/>
      <c r="F62" s="223"/>
      <c r="G62" s="115">
        <v>7</v>
      </c>
      <c r="H62" s="138"/>
      <c r="I62" s="206"/>
      <c r="J62" s="203"/>
      <c r="K62" s="226"/>
      <c r="L62" s="247"/>
      <c r="M62" s="247"/>
      <c r="N62" s="209"/>
      <c r="O62" s="215"/>
    </row>
    <row r="63" spans="2:15" s="18" customFormat="1" ht="14.4" thickBot="1" x14ac:dyDescent="0.3">
      <c r="B63" s="252"/>
      <c r="C63" s="218"/>
      <c r="D63" s="221"/>
      <c r="E63" s="204"/>
      <c r="F63" s="224"/>
      <c r="G63" s="120">
        <v>8</v>
      </c>
      <c r="H63" s="139"/>
      <c r="I63" s="207"/>
      <c r="J63" s="204"/>
      <c r="K63" s="227"/>
      <c r="L63" s="247"/>
      <c r="M63" s="247"/>
      <c r="N63" s="209"/>
      <c r="O63" s="215"/>
    </row>
    <row r="64" spans="2:15" ht="16.600000000000001" customHeight="1" x14ac:dyDescent="0.25">
      <c r="B64" s="250" t="str">
        <f>+LEFT(C64,3)</f>
        <v>1.5</v>
      </c>
      <c r="C64" s="231" t="s">
        <v>133</v>
      </c>
      <c r="D64" s="299" t="s">
        <v>134</v>
      </c>
      <c r="E64" s="222" t="s">
        <v>363</v>
      </c>
      <c r="F64" s="222">
        <v>2</v>
      </c>
      <c r="G64" s="121">
        <v>1</v>
      </c>
      <c r="H64" s="137"/>
      <c r="I64" s="205" t="s">
        <v>364</v>
      </c>
      <c r="J64" s="234">
        <v>2</v>
      </c>
      <c r="K64" s="266" t="str">
        <f t="shared" ref="K64" si="9">+IF(OR(ISBLANK(F64),ISBLANK(J64)),"",IF(OR(AND(F64=1,J64=1),AND(F64=1,J64=2),AND(F64=1,J64=3)),"Deficiencia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247">
        <f t="shared" ref="L64" si="10">+IF(K64="",0,IF(K64="Deficiencia de control mayor (diseño y ejecución)",4,IF(K64="Deficiencia de control (diseño o ejecución)",20,IF(K64="Oportunidad de mejora",40,60))))</f>
        <v>20</v>
      </c>
      <c r="M64" s="247">
        <v>7.3568999999999996E-2</v>
      </c>
      <c r="N64" s="201">
        <f t="shared" ref="N64" si="11">+L64+M64</f>
        <v>20.073568999999999</v>
      </c>
      <c r="O64" s="212"/>
    </row>
    <row r="65" spans="2:15" s="18" customFormat="1" ht="13.85" x14ac:dyDescent="0.25">
      <c r="B65" s="251"/>
      <c r="C65" s="232"/>
      <c r="D65" s="300"/>
      <c r="E65" s="223"/>
      <c r="F65" s="223"/>
      <c r="G65" s="115">
        <v>2</v>
      </c>
      <c r="H65" s="138" t="s">
        <v>383</v>
      </c>
      <c r="I65" s="206"/>
      <c r="J65" s="235"/>
      <c r="K65" s="267"/>
      <c r="L65" s="247"/>
      <c r="M65" s="247"/>
      <c r="N65" s="201"/>
      <c r="O65" s="212"/>
    </row>
    <row r="66" spans="2:15" s="18" customFormat="1" ht="13.85" x14ac:dyDescent="0.25">
      <c r="B66" s="251"/>
      <c r="C66" s="232"/>
      <c r="D66" s="300"/>
      <c r="E66" s="223"/>
      <c r="F66" s="223"/>
      <c r="G66" s="115">
        <v>3</v>
      </c>
      <c r="H66" s="138"/>
      <c r="I66" s="206"/>
      <c r="J66" s="235"/>
      <c r="K66" s="267"/>
      <c r="L66" s="247"/>
      <c r="M66" s="247"/>
      <c r="N66" s="201"/>
      <c r="O66" s="212"/>
    </row>
    <row r="67" spans="2:15" s="18" customFormat="1" ht="13.85" x14ac:dyDescent="0.25">
      <c r="B67" s="251"/>
      <c r="C67" s="232"/>
      <c r="D67" s="300"/>
      <c r="E67" s="223"/>
      <c r="F67" s="223"/>
      <c r="G67" s="115">
        <v>4</v>
      </c>
      <c r="H67" s="138"/>
      <c r="I67" s="206"/>
      <c r="J67" s="235"/>
      <c r="K67" s="267"/>
      <c r="L67" s="247"/>
      <c r="M67" s="247"/>
      <c r="N67" s="201"/>
      <c r="O67" s="212"/>
    </row>
    <row r="68" spans="2:15" s="18" customFormat="1" ht="27.65" x14ac:dyDescent="0.25">
      <c r="B68" s="251"/>
      <c r="C68" s="232"/>
      <c r="D68" s="300"/>
      <c r="E68" s="223"/>
      <c r="F68" s="223"/>
      <c r="G68" s="115">
        <v>5</v>
      </c>
      <c r="H68" s="156" t="s">
        <v>362</v>
      </c>
      <c r="I68" s="206"/>
      <c r="J68" s="235"/>
      <c r="K68" s="267"/>
      <c r="L68" s="247"/>
      <c r="M68" s="247"/>
      <c r="N68" s="201"/>
      <c r="O68" s="212"/>
    </row>
    <row r="69" spans="2:15" s="18" customFormat="1" ht="13.85" x14ac:dyDescent="0.25">
      <c r="B69" s="251"/>
      <c r="C69" s="232"/>
      <c r="D69" s="300"/>
      <c r="E69" s="223"/>
      <c r="F69" s="223"/>
      <c r="G69" s="115">
        <v>6</v>
      </c>
      <c r="H69" s="138"/>
      <c r="I69" s="206"/>
      <c r="J69" s="235"/>
      <c r="K69" s="267"/>
      <c r="L69" s="247"/>
      <c r="M69" s="247"/>
      <c r="N69" s="201"/>
      <c r="O69" s="212"/>
    </row>
    <row r="70" spans="2:15" s="18" customFormat="1" ht="13.85" x14ac:dyDescent="0.25">
      <c r="B70" s="251"/>
      <c r="C70" s="232"/>
      <c r="D70" s="300"/>
      <c r="E70" s="223"/>
      <c r="F70" s="223"/>
      <c r="G70" s="115">
        <v>7</v>
      </c>
      <c r="H70" s="138"/>
      <c r="I70" s="206"/>
      <c r="J70" s="235"/>
      <c r="K70" s="267"/>
      <c r="L70" s="247"/>
      <c r="M70" s="247"/>
      <c r="N70" s="201"/>
      <c r="O70" s="212"/>
    </row>
    <row r="71" spans="2:15" s="18" customFormat="1" ht="14.4" thickBot="1" x14ac:dyDescent="0.3">
      <c r="B71" s="252"/>
      <c r="C71" s="233"/>
      <c r="D71" s="301"/>
      <c r="E71" s="224"/>
      <c r="F71" s="224"/>
      <c r="G71" s="120">
        <v>8</v>
      </c>
      <c r="H71" s="139"/>
      <c r="I71" s="207"/>
      <c r="J71" s="236"/>
      <c r="K71" s="268"/>
      <c r="L71" s="247"/>
      <c r="M71" s="247"/>
      <c r="N71" s="201"/>
      <c r="O71" s="212"/>
    </row>
    <row r="72" spans="2:15" ht="36.75" customHeight="1" x14ac:dyDescent="0.25">
      <c r="B72" s="260"/>
      <c r="C72" s="297" t="s">
        <v>135</v>
      </c>
      <c r="D72" s="239" t="s">
        <v>8</v>
      </c>
      <c r="E72" s="294" t="s">
        <v>114</v>
      </c>
      <c r="F72" s="242" t="s">
        <v>115</v>
      </c>
      <c r="G72" s="283" t="s">
        <v>116</v>
      </c>
      <c r="H72" s="284"/>
      <c r="I72" s="285"/>
      <c r="J72" s="242" t="s">
        <v>117</v>
      </c>
      <c r="K72" s="269" t="s">
        <v>136</v>
      </c>
      <c r="L72" s="248"/>
      <c r="M72" s="248"/>
      <c r="N72" s="210"/>
      <c r="O72" s="213"/>
    </row>
    <row r="73" spans="2:15" ht="29.25" customHeight="1" x14ac:dyDescent="0.25">
      <c r="B73" s="260"/>
      <c r="C73" s="297"/>
      <c r="D73" s="240"/>
      <c r="E73" s="295"/>
      <c r="F73" s="242"/>
      <c r="G73" s="244" t="s">
        <v>13</v>
      </c>
      <c r="H73" s="296" t="s">
        <v>15</v>
      </c>
      <c r="I73" s="286" t="s">
        <v>17</v>
      </c>
      <c r="J73" s="242"/>
      <c r="K73" s="269"/>
      <c r="L73" s="248"/>
      <c r="M73" s="248"/>
      <c r="N73" s="210"/>
      <c r="O73" s="213"/>
    </row>
    <row r="74" spans="2:15" ht="45.8" customHeight="1" thickBot="1" x14ac:dyDescent="0.3">
      <c r="B74" s="261"/>
      <c r="C74" s="298"/>
      <c r="D74" s="241"/>
      <c r="E74" s="287"/>
      <c r="F74" s="243"/>
      <c r="G74" s="245"/>
      <c r="H74" s="286"/>
      <c r="I74" s="287"/>
      <c r="J74" s="243"/>
      <c r="K74" s="270"/>
      <c r="L74" s="248"/>
      <c r="M74" s="248"/>
      <c r="N74" s="210"/>
      <c r="O74" s="213"/>
    </row>
    <row r="75" spans="2:15" s="18" customFormat="1" ht="21.05" customHeight="1" x14ac:dyDescent="0.25">
      <c r="B75" s="250" t="str">
        <f>+LEFT(C75,3)</f>
        <v>2.1</v>
      </c>
      <c r="C75" s="231" t="s">
        <v>137</v>
      </c>
      <c r="D75" s="219" t="s">
        <v>138</v>
      </c>
      <c r="E75" s="288" t="s">
        <v>365</v>
      </c>
      <c r="F75" s="222">
        <v>3</v>
      </c>
      <c r="G75" s="121">
        <v>1</v>
      </c>
      <c r="H75" s="137" t="s">
        <v>366</v>
      </c>
      <c r="I75" s="205" t="s">
        <v>369</v>
      </c>
      <c r="J75" s="234">
        <v>3</v>
      </c>
      <c r="K75" s="266" t="str">
        <f t="shared" ref="K75" si="12">+IF(OR(ISBLANK(F75),ISBLANK(J75)),"",IF(OR(AND(F75=1,J75=1),AND(F75=1,J75=2),AND(F75=1,J75=3)),"Deficiencia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47">
        <f t="shared" ref="L75:L91" si="13">+IF(K75="",0,IF(K75="Deficiencia de control mayor (diseño y ejecución)",4,IF(K75="Deficiencia de control (diseño o ejecución)",20,IF(K75="Oportunidad de mejora",40,60))))</f>
        <v>60</v>
      </c>
      <c r="M75" s="247">
        <v>8.8965299999999997E-2</v>
      </c>
      <c r="N75" s="201">
        <f>+L75+M75</f>
        <v>60.088965299999998</v>
      </c>
      <c r="O75" s="212"/>
    </row>
    <row r="76" spans="2:15" s="18" customFormat="1" ht="21.05" customHeight="1" x14ac:dyDescent="0.25">
      <c r="B76" s="251"/>
      <c r="C76" s="232"/>
      <c r="D76" s="220"/>
      <c r="E76" s="289"/>
      <c r="F76" s="223"/>
      <c r="G76" s="115">
        <v>2</v>
      </c>
      <c r="H76" s="138" t="s">
        <v>367</v>
      </c>
      <c r="I76" s="206"/>
      <c r="J76" s="235"/>
      <c r="K76" s="267"/>
      <c r="L76" s="247"/>
      <c r="M76" s="247"/>
      <c r="N76" s="201"/>
      <c r="O76" s="212"/>
    </row>
    <row r="77" spans="2:15" s="18" customFormat="1" ht="21.05" customHeight="1" x14ac:dyDescent="0.25">
      <c r="B77" s="251"/>
      <c r="C77" s="232"/>
      <c r="D77" s="220"/>
      <c r="E77" s="289"/>
      <c r="F77" s="223"/>
      <c r="G77" s="115">
        <v>3</v>
      </c>
      <c r="H77" s="138" t="s">
        <v>368</v>
      </c>
      <c r="I77" s="206"/>
      <c r="J77" s="235"/>
      <c r="K77" s="267"/>
      <c r="L77" s="247"/>
      <c r="M77" s="247"/>
      <c r="N77" s="201"/>
      <c r="O77" s="212"/>
    </row>
    <row r="78" spans="2:15" s="18" customFormat="1" ht="21.05" customHeight="1" x14ac:dyDescent="0.25">
      <c r="B78" s="251"/>
      <c r="C78" s="232"/>
      <c r="D78" s="220"/>
      <c r="E78" s="289"/>
      <c r="F78" s="223"/>
      <c r="G78" s="115">
        <v>4</v>
      </c>
      <c r="H78" s="138"/>
      <c r="I78" s="206"/>
      <c r="J78" s="235"/>
      <c r="K78" s="267"/>
      <c r="L78" s="247"/>
      <c r="M78" s="247"/>
      <c r="N78" s="201"/>
      <c r="O78" s="212"/>
    </row>
    <row r="79" spans="2:15" s="18" customFormat="1" ht="21.05" customHeight="1" x14ac:dyDescent="0.25">
      <c r="B79" s="251"/>
      <c r="C79" s="232"/>
      <c r="D79" s="220"/>
      <c r="E79" s="289"/>
      <c r="F79" s="223"/>
      <c r="G79" s="115">
        <v>5</v>
      </c>
      <c r="H79" s="138"/>
      <c r="I79" s="206"/>
      <c r="J79" s="235"/>
      <c r="K79" s="267"/>
      <c r="L79" s="247"/>
      <c r="M79" s="247"/>
      <c r="N79" s="201"/>
      <c r="O79" s="212"/>
    </row>
    <row r="80" spans="2:15" s="18" customFormat="1" ht="21.05" customHeight="1" x14ac:dyDescent="0.25">
      <c r="B80" s="251"/>
      <c r="C80" s="232"/>
      <c r="D80" s="220"/>
      <c r="E80" s="289"/>
      <c r="F80" s="223"/>
      <c r="G80" s="115">
        <v>6</v>
      </c>
      <c r="H80" s="138"/>
      <c r="I80" s="206"/>
      <c r="J80" s="235"/>
      <c r="K80" s="267"/>
      <c r="L80" s="247"/>
      <c r="M80" s="247"/>
      <c r="N80" s="201"/>
      <c r="O80" s="212"/>
    </row>
    <row r="81" spans="2:15" s="18" customFormat="1" ht="21.05" customHeight="1" x14ac:dyDescent="0.25">
      <c r="B81" s="251"/>
      <c r="C81" s="232"/>
      <c r="D81" s="220"/>
      <c r="E81" s="289"/>
      <c r="F81" s="223"/>
      <c r="G81" s="115">
        <v>7</v>
      </c>
      <c r="H81" s="138"/>
      <c r="I81" s="206"/>
      <c r="J81" s="235"/>
      <c r="K81" s="267"/>
      <c r="L81" s="247"/>
      <c r="M81" s="247"/>
      <c r="N81" s="201"/>
      <c r="O81" s="212"/>
    </row>
    <row r="82" spans="2:15" s="18" customFormat="1" ht="21.05" customHeight="1" thickBot="1" x14ac:dyDescent="0.3">
      <c r="B82" s="252"/>
      <c r="C82" s="233"/>
      <c r="D82" s="221"/>
      <c r="E82" s="290"/>
      <c r="F82" s="224"/>
      <c r="G82" s="120">
        <v>8</v>
      </c>
      <c r="H82" s="139"/>
      <c r="I82" s="207"/>
      <c r="J82" s="236"/>
      <c r="K82" s="268"/>
      <c r="L82" s="247"/>
      <c r="M82" s="247"/>
      <c r="N82" s="201"/>
      <c r="O82" s="212"/>
    </row>
    <row r="83" spans="2:15" s="18" customFormat="1" ht="13.85" x14ac:dyDescent="0.25">
      <c r="B83" s="250" t="str">
        <f>+LEFT(C83,3)</f>
        <v>2.2</v>
      </c>
      <c r="C83" s="302" t="s">
        <v>139</v>
      </c>
      <c r="D83" s="219" t="s">
        <v>140</v>
      </c>
      <c r="E83" s="222" t="s">
        <v>447</v>
      </c>
      <c r="F83" s="222">
        <v>1</v>
      </c>
      <c r="G83" s="121">
        <v>1</v>
      </c>
      <c r="H83" s="137"/>
      <c r="I83" s="202"/>
      <c r="J83" s="234">
        <v>1</v>
      </c>
      <c r="K83" s="266" t="str">
        <f t="shared" ref="K83" si="14">+IF(OR(ISBLANK(F83),ISBLANK(J83)),"",IF(OR(AND(F83=1,J83=1),AND(F83=1,J83=2),AND(F83=1,J83=3)),"Deficiencia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mayor (diseño y ejecución)</v>
      </c>
      <c r="L83" s="247">
        <f t="shared" si="13"/>
        <v>4</v>
      </c>
      <c r="M83" s="247">
        <v>9.8965300000000006E-2</v>
      </c>
      <c r="N83" s="201">
        <f t="shared" ref="N83:N91" si="15">+L83+M83</f>
        <v>4.0989652999999997</v>
      </c>
      <c r="O83" s="212"/>
    </row>
    <row r="84" spans="2:15" s="18" customFormat="1" ht="13.85" x14ac:dyDescent="0.25">
      <c r="B84" s="251"/>
      <c r="C84" s="303"/>
      <c r="D84" s="220"/>
      <c r="E84" s="223"/>
      <c r="F84" s="223"/>
      <c r="G84" s="115">
        <v>2</v>
      </c>
      <c r="H84" s="138"/>
      <c r="I84" s="203"/>
      <c r="J84" s="235"/>
      <c r="K84" s="267"/>
      <c r="L84" s="247"/>
      <c r="M84" s="247"/>
      <c r="N84" s="201"/>
      <c r="O84" s="212"/>
    </row>
    <row r="85" spans="2:15" s="18" customFormat="1" ht="13.85" x14ac:dyDescent="0.25">
      <c r="B85" s="251"/>
      <c r="C85" s="303"/>
      <c r="D85" s="220"/>
      <c r="E85" s="223"/>
      <c r="F85" s="223"/>
      <c r="G85" s="115">
        <v>3</v>
      </c>
      <c r="H85" s="138"/>
      <c r="I85" s="203"/>
      <c r="J85" s="235"/>
      <c r="K85" s="267"/>
      <c r="L85" s="247"/>
      <c r="M85" s="247"/>
      <c r="N85" s="201"/>
      <c r="O85" s="212"/>
    </row>
    <row r="86" spans="2:15" s="18" customFormat="1" ht="13.85" x14ac:dyDescent="0.25">
      <c r="B86" s="251"/>
      <c r="C86" s="303"/>
      <c r="D86" s="220"/>
      <c r="E86" s="223"/>
      <c r="F86" s="223"/>
      <c r="G86" s="115">
        <v>4</v>
      </c>
      <c r="H86" s="138"/>
      <c r="I86" s="203"/>
      <c r="J86" s="235"/>
      <c r="K86" s="267"/>
      <c r="L86" s="247"/>
      <c r="M86" s="247"/>
      <c r="N86" s="201"/>
      <c r="O86" s="212"/>
    </row>
    <row r="87" spans="2:15" s="18" customFormat="1" ht="13.85" x14ac:dyDescent="0.25">
      <c r="B87" s="251"/>
      <c r="C87" s="303"/>
      <c r="D87" s="220"/>
      <c r="E87" s="223"/>
      <c r="F87" s="223"/>
      <c r="G87" s="115">
        <v>5</v>
      </c>
      <c r="H87" s="138"/>
      <c r="I87" s="203"/>
      <c r="J87" s="235"/>
      <c r="K87" s="267"/>
      <c r="L87" s="247"/>
      <c r="M87" s="247"/>
      <c r="N87" s="201"/>
      <c r="O87" s="212"/>
    </row>
    <row r="88" spans="2:15" s="18" customFormat="1" ht="13.85" x14ac:dyDescent="0.25">
      <c r="B88" s="251"/>
      <c r="C88" s="303"/>
      <c r="D88" s="220"/>
      <c r="E88" s="223"/>
      <c r="F88" s="223"/>
      <c r="G88" s="115">
        <v>6</v>
      </c>
      <c r="H88" s="138"/>
      <c r="I88" s="203"/>
      <c r="J88" s="235"/>
      <c r="K88" s="267"/>
      <c r="L88" s="247"/>
      <c r="M88" s="247"/>
      <c r="N88" s="201"/>
      <c r="O88" s="212"/>
    </row>
    <row r="89" spans="2:15" s="18" customFormat="1" ht="13.85" x14ac:dyDescent="0.25">
      <c r="B89" s="251"/>
      <c r="C89" s="303"/>
      <c r="D89" s="220"/>
      <c r="E89" s="223"/>
      <c r="F89" s="223"/>
      <c r="G89" s="115">
        <v>7</v>
      </c>
      <c r="H89" s="138"/>
      <c r="I89" s="203"/>
      <c r="J89" s="235"/>
      <c r="K89" s="267"/>
      <c r="L89" s="247"/>
      <c r="M89" s="247"/>
      <c r="N89" s="201"/>
      <c r="O89" s="212"/>
    </row>
    <row r="90" spans="2:15" s="18" customFormat="1" ht="14.4" thickBot="1" x14ac:dyDescent="0.3">
      <c r="B90" s="252"/>
      <c r="C90" s="304"/>
      <c r="D90" s="221"/>
      <c r="E90" s="224"/>
      <c r="F90" s="224"/>
      <c r="G90" s="120">
        <v>8</v>
      </c>
      <c r="H90" s="139"/>
      <c r="I90" s="204"/>
      <c r="J90" s="236"/>
      <c r="K90" s="268"/>
      <c r="L90" s="247"/>
      <c r="M90" s="247"/>
      <c r="N90" s="201"/>
      <c r="O90" s="212"/>
    </row>
    <row r="91" spans="2:15" ht="21.05" customHeight="1" x14ac:dyDescent="0.25">
      <c r="B91" s="250" t="str">
        <f>+LEFT(C91,3)</f>
        <v>2.3</v>
      </c>
      <c r="C91" s="231" t="s">
        <v>141</v>
      </c>
      <c r="D91" s="219" t="s">
        <v>142</v>
      </c>
      <c r="E91" s="222" t="s">
        <v>448</v>
      </c>
      <c r="F91" s="222">
        <v>2</v>
      </c>
      <c r="G91" s="121">
        <v>1</v>
      </c>
      <c r="H91" s="137"/>
      <c r="I91" s="202"/>
      <c r="J91" s="234">
        <v>2</v>
      </c>
      <c r="K91" s="266" t="str">
        <f t="shared" ref="K91" si="16">+IF(OR(ISBLANK(F91),ISBLANK(J91)),"",IF(OR(AND(F91=1,J91=1),AND(F91=1,J91=2),AND(F91=1,J91=3)),"Deficiencia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247">
        <f t="shared" si="13"/>
        <v>20</v>
      </c>
      <c r="M91" s="247">
        <v>0.15698000000000001</v>
      </c>
      <c r="N91" s="201">
        <f t="shared" si="15"/>
        <v>20.156980000000001</v>
      </c>
      <c r="O91" s="212"/>
    </row>
    <row r="92" spans="2:15" s="18" customFormat="1" ht="21.05" customHeight="1" x14ac:dyDescent="0.25">
      <c r="B92" s="251"/>
      <c r="C92" s="232"/>
      <c r="D92" s="220"/>
      <c r="E92" s="223"/>
      <c r="F92" s="223"/>
      <c r="G92" s="115">
        <v>2</v>
      </c>
      <c r="H92" s="138"/>
      <c r="I92" s="203"/>
      <c r="J92" s="235"/>
      <c r="K92" s="267"/>
      <c r="L92" s="247"/>
      <c r="M92" s="247"/>
      <c r="N92" s="201"/>
      <c r="O92" s="212"/>
    </row>
    <row r="93" spans="2:15" s="18" customFormat="1" ht="21.05" customHeight="1" x14ac:dyDescent="0.25">
      <c r="B93" s="251"/>
      <c r="C93" s="232"/>
      <c r="D93" s="220"/>
      <c r="E93" s="223"/>
      <c r="F93" s="223"/>
      <c r="G93" s="115">
        <v>3</v>
      </c>
      <c r="H93" s="138"/>
      <c r="I93" s="203"/>
      <c r="J93" s="235"/>
      <c r="K93" s="267"/>
      <c r="L93" s="247"/>
      <c r="M93" s="247"/>
      <c r="N93" s="201"/>
      <c r="O93" s="212"/>
    </row>
    <row r="94" spans="2:15" s="18" customFormat="1" ht="21.05" customHeight="1" x14ac:dyDescent="0.25">
      <c r="B94" s="251"/>
      <c r="C94" s="232"/>
      <c r="D94" s="220"/>
      <c r="E94" s="223"/>
      <c r="F94" s="223"/>
      <c r="G94" s="115">
        <v>4</v>
      </c>
      <c r="H94" s="138"/>
      <c r="I94" s="203"/>
      <c r="J94" s="235"/>
      <c r="K94" s="267"/>
      <c r="L94" s="247"/>
      <c r="M94" s="247"/>
      <c r="N94" s="201"/>
      <c r="O94" s="212"/>
    </row>
    <row r="95" spans="2:15" s="18" customFormat="1" ht="21.05" customHeight="1" x14ac:dyDescent="0.25">
      <c r="B95" s="251"/>
      <c r="C95" s="232"/>
      <c r="D95" s="220"/>
      <c r="E95" s="223"/>
      <c r="F95" s="223"/>
      <c r="G95" s="115">
        <v>5</v>
      </c>
      <c r="H95" s="138"/>
      <c r="I95" s="203"/>
      <c r="J95" s="235"/>
      <c r="K95" s="267"/>
      <c r="L95" s="247"/>
      <c r="M95" s="247"/>
      <c r="N95" s="201"/>
      <c r="O95" s="212"/>
    </row>
    <row r="96" spans="2:15" s="18" customFormat="1" ht="21.05" customHeight="1" x14ac:dyDescent="0.25">
      <c r="B96" s="251"/>
      <c r="C96" s="232"/>
      <c r="D96" s="220"/>
      <c r="E96" s="223"/>
      <c r="F96" s="223"/>
      <c r="G96" s="115">
        <v>6</v>
      </c>
      <c r="H96" s="138"/>
      <c r="I96" s="203"/>
      <c r="J96" s="235"/>
      <c r="K96" s="267"/>
      <c r="L96" s="247"/>
      <c r="M96" s="247"/>
      <c r="N96" s="201"/>
      <c r="O96" s="212"/>
    </row>
    <row r="97" spans="2:15" s="18" customFormat="1" ht="21.05" customHeight="1" x14ac:dyDescent="0.25">
      <c r="B97" s="251"/>
      <c r="C97" s="232"/>
      <c r="D97" s="220"/>
      <c r="E97" s="223"/>
      <c r="F97" s="223"/>
      <c r="G97" s="115">
        <v>7</v>
      </c>
      <c r="H97" s="138"/>
      <c r="I97" s="203"/>
      <c r="J97" s="235"/>
      <c r="K97" s="267"/>
      <c r="L97" s="247"/>
      <c r="M97" s="247"/>
      <c r="N97" s="201"/>
      <c r="O97" s="212"/>
    </row>
    <row r="98" spans="2:15" s="18" customFormat="1" ht="21.05" customHeight="1" thickBot="1" x14ac:dyDescent="0.3">
      <c r="B98" s="252"/>
      <c r="C98" s="233"/>
      <c r="D98" s="221"/>
      <c r="E98" s="224"/>
      <c r="F98" s="224"/>
      <c r="G98" s="120">
        <v>8</v>
      </c>
      <c r="H98" s="139"/>
      <c r="I98" s="204"/>
      <c r="J98" s="236"/>
      <c r="K98" s="268"/>
      <c r="L98" s="247"/>
      <c r="M98" s="247"/>
      <c r="N98" s="201"/>
      <c r="O98" s="212"/>
    </row>
    <row r="99" spans="2:15" ht="23.2" customHeight="1" x14ac:dyDescent="0.25">
      <c r="B99" s="255"/>
      <c r="C99" s="297" t="s">
        <v>143</v>
      </c>
      <c r="D99" s="239" t="s">
        <v>8</v>
      </c>
      <c r="E99" s="294" t="s">
        <v>114</v>
      </c>
      <c r="F99" s="242" t="s">
        <v>115</v>
      </c>
      <c r="G99" s="283" t="s">
        <v>116</v>
      </c>
      <c r="H99" s="284"/>
      <c r="I99" s="285"/>
      <c r="J99" s="242" t="s">
        <v>117</v>
      </c>
      <c r="K99" s="269" t="s">
        <v>136</v>
      </c>
      <c r="L99" s="248"/>
      <c r="M99" s="248"/>
      <c r="N99" s="210"/>
      <c r="O99" s="213"/>
    </row>
    <row r="100" spans="2:15" ht="42.05" customHeight="1" x14ac:dyDescent="0.25">
      <c r="B100" s="255"/>
      <c r="C100" s="297"/>
      <c r="D100" s="240"/>
      <c r="E100" s="295"/>
      <c r="F100" s="242"/>
      <c r="G100" s="244" t="s">
        <v>13</v>
      </c>
      <c r="H100" s="296" t="s">
        <v>15</v>
      </c>
      <c r="I100" s="286" t="s">
        <v>17</v>
      </c>
      <c r="J100" s="242"/>
      <c r="K100" s="269"/>
      <c r="L100" s="248"/>
      <c r="M100" s="248"/>
      <c r="N100" s="210"/>
      <c r="O100" s="213"/>
    </row>
    <row r="101" spans="2:15" ht="87.7" customHeight="1" thickBot="1" x14ac:dyDescent="0.3">
      <c r="B101" s="256"/>
      <c r="C101" s="298"/>
      <c r="D101" s="241"/>
      <c r="E101" s="287"/>
      <c r="F101" s="243"/>
      <c r="G101" s="245"/>
      <c r="H101" s="286"/>
      <c r="I101" s="287"/>
      <c r="J101" s="243"/>
      <c r="K101" s="270"/>
      <c r="L101" s="248"/>
      <c r="M101" s="248"/>
      <c r="N101" s="210"/>
      <c r="O101" s="213"/>
    </row>
    <row r="102" spans="2:15" s="18" customFormat="1" ht="13.85" x14ac:dyDescent="0.25">
      <c r="B102" s="250" t="str">
        <f>+LEFT(C102,3)</f>
        <v>3.1</v>
      </c>
      <c r="C102" s="231" t="s">
        <v>144</v>
      </c>
      <c r="D102" s="219" t="s">
        <v>145</v>
      </c>
      <c r="E102" s="222" t="s">
        <v>370</v>
      </c>
      <c r="F102" s="222">
        <v>2</v>
      </c>
      <c r="G102" s="121">
        <v>1</v>
      </c>
      <c r="H102" s="137"/>
      <c r="I102" s="205" t="s">
        <v>370</v>
      </c>
      <c r="J102" s="234">
        <v>2</v>
      </c>
      <c r="K102" s="266" t="str">
        <f t="shared" ref="K102:K118" si="17">+IF(OR(ISBLANK(F102),ISBLANK(J102)),"",IF(OR(AND(F102=1,J102=1),AND(F102=1,J102=2),AND(F102=1,J102=3)),"Deficiencia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247">
        <f t="shared" ref="L102:L118" si="18">+IF(K102="",0,IF(K102="Deficiencia de control mayor (diseño y ejecución)",4,IF(K102="Deficiencia de control (diseño o ejecución)",20,IF(K102="Oportunidad de mejora",40,60))))</f>
        <v>20</v>
      </c>
      <c r="M102" s="247">
        <v>0.28965000000000002</v>
      </c>
      <c r="N102" s="201">
        <f t="shared" ref="N102:N118" si="19">+L102+M102</f>
        <v>20.289650000000002</v>
      </c>
      <c r="O102" s="212"/>
    </row>
    <row r="103" spans="2:15" s="18" customFormat="1" ht="13.85" x14ac:dyDescent="0.25">
      <c r="B103" s="251"/>
      <c r="C103" s="232"/>
      <c r="D103" s="220"/>
      <c r="E103" s="223"/>
      <c r="F103" s="223"/>
      <c r="G103" s="115">
        <v>2</v>
      </c>
      <c r="H103" s="151" t="s">
        <v>370</v>
      </c>
      <c r="I103" s="206"/>
      <c r="J103" s="235"/>
      <c r="K103" s="267"/>
      <c r="L103" s="247"/>
      <c r="M103" s="247"/>
      <c r="N103" s="201"/>
      <c r="O103" s="212"/>
    </row>
    <row r="104" spans="2:15" s="18" customFormat="1" ht="13.85" x14ac:dyDescent="0.25">
      <c r="B104" s="251"/>
      <c r="C104" s="232"/>
      <c r="D104" s="220"/>
      <c r="E104" s="223"/>
      <c r="F104" s="223"/>
      <c r="G104" s="115">
        <v>3</v>
      </c>
      <c r="H104" s="138"/>
      <c r="I104" s="206"/>
      <c r="J104" s="235"/>
      <c r="K104" s="267"/>
      <c r="L104" s="247"/>
      <c r="M104" s="247"/>
      <c r="N104" s="201"/>
      <c r="O104" s="212"/>
    </row>
    <row r="105" spans="2:15" s="18" customFormat="1" ht="13.85" x14ac:dyDescent="0.25">
      <c r="B105" s="251"/>
      <c r="C105" s="232"/>
      <c r="D105" s="220"/>
      <c r="E105" s="223"/>
      <c r="F105" s="223"/>
      <c r="G105" s="115">
        <v>4</v>
      </c>
      <c r="H105" s="138"/>
      <c r="I105" s="206"/>
      <c r="J105" s="235"/>
      <c r="K105" s="267"/>
      <c r="L105" s="247"/>
      <c r="M105" s="247"/>
      <c r="N105" s="201"/>
      <c r="O105" s="212"/>
    </row>
    <row r="106" spans="2:15" s="18" customFormat="1" ht="13.85" x14ac:dyDescent="0.25">
      <c r="B106" s="251"/>
      <c r="C106" s="232"/>
      <c r="D106" s="220"/>
      <c r="E106" s="223"/>
      <c r="F106" s="223"/>
      <c r="G106" s="115">
        <v>5</v>
      </c>
      <c r="H106" s="138"/>
      <c r="I106" s="206"/>
      <c r="J106" s="235"/>
      <c r="K106" s="267"/>
      <c r="L106" s="247"/>
      <c r="M106" s="247"/>
      <c r="N106" s="201"/>
      <c r="O106" s="212"/>
    </row>
    <row r="107" spans="2:15" s="18" customFormat="1" ht="13.85" x14ac:dyDescent="0.25">
      <c r="B107" s="251"/>
      <c r="C107" s="232"/>
      <c r="D107" s="220"/>
      <c r="E107" s="223"/>
      <c r="F107" s="223"/>
      <c r="G107" s="115">
        <v>6</v>
      </c>
      <c r="H107" s="138"/>
      <c r="I107" s="206"/>
      <c r="J107" s="235"/>
      <c r="K107" s="267"/>
      <c r="L107" s="247"/>
      <c r="M107" s="247"/>
      <c r="N107" s="201"/>
      <c r="O107" s="212"/>
    </row>
    <row r="108" spans="2:15" s="18" customFormat="1" ht="13.85" x14ac:dyDescent="0.25">
      <c r="B108" s="251"/>
      <c r="C108" s="232"/>
      <c r="D108" s="220"/>
      <c r="E108" s="223"/>
      <c r="F108" s="223"/>
      <c r="G108" s="115">
        <v>7</v>
      </c>
      <c r="H108" s="138"/>
      <c r="I108" s="206"/>
      <c r="J108" s="235"/>
      <c r="K108" s="267"/>
      <c r="L108" s="247"/>
      <c r="M108" s="247"/>
      <c r="N108" s="201"/>
      <c r="O108" s="212"/>
    </row>
    <row r="109" spans="2:15" s="18" customFormat="1" ht="14.4" thickBot="1" x14ac:dyDescent="0.3">
      <c r="B109" s="252"/>
      <c r="C109" s="233"/>
      <c r="D109" s="221"/>
      <c r="E109" s="224"/>
      <c r="F109" s="224"/>
      <c r="G109" s="120">
        <v>8</v>
      </c>
      <c r="H109" s="139"/>
      <c r="I109" s="207"/>
      <c r="J109" s="236"/>
      <c r="K109" s="268"/>
      <c r="L109" s="247"/>
      <c r="M109" s="247"/>
      <c r="N109" s="201"/>
      <c r="O109" s="212"/>
    </row>
    <row r="110" spans="2:15" s="18" customFormat="1" ht="13.85" x14ac:dyDescent="0.25">
      <c r="B110" s="250" t="str">
        <f>+LEFT(C110,3)</f>
        <v>3.2</v>
      </c>
      <c r="C110" s="320" t="s">
        <v>146</v>
      </c>
      <c r="D110" s="219" t="s">
        <v>147</v>
      </c>
      <c r="E110" s="202" t="s">
        <v>371</v>
      </c>
      <c r="F110" s="222">
        <v>2</v>
      </c>
      <c r="G110" s="121">
        <v>1</v>
      </c>
      <c r="H110" s="137"/>
      <c r="I110" s="202" t="s">
        <v>373</v>
      </c>
      <c r="J110" s="234">
        <v>2</v>
      </c>
      <c r="K110" s="266" t="str">
        <f t="shared" si="17"/>
        <v>Deficiencia de control (diseño o ejecución)</v>
      </c>
      <c r="L110" s="247">
        <f t="shared" si="18"/>
        <v>20</v>
      </c>
      <c r="M110" s="247">
        <v>0.38965300000000003</v>
      </c>
      <c r="N110" s="201">
        <f t="shared" si="19"/>
        <v>20.389652999999999</v>
      </c>
      <c r="O110" s="212"/>
    </row>
    <row r="111" spans="2:15" s="18" customFormat="1" ht="13.85" x14ac:dyDescent="0.25">
      <c r="B111" s="251"/>
      <c r="C111" s="321"/>
      <c r="D111" s="220"/>
      <c r="E111" s="203"/>
      <c r="F111" s="223"/>
      <c r="G111" s="115">
        <v>2</v>
      </c>
      <c r="H111" s="138" t="s">
        <v>372</v>
      </c>
      <c r="I111" s="203"/>
      <c r="J111" s="235"/>
      <c r="K111" s="267"/>
      <c r="L111" s="247"/>
      <c r="M111" s="247"/>
      <c r="N111" s="201"/>
      <c r="O111" s="212"/>
    </row>
    <row r="112" spans="2:15" s="18" customFormat="1" ht="13.85" x14ac:dyDescent="0.25">
      <c r="B112" s="251"/>
      <c r="C112" s="321"/>
      <c r="D112" s="220"/>
      <c r="E112" s="203"/>
      <c r="F112" s="223"/>
      <c r="G112" s="115">
        <v>3</v>
      </c>
      <c r="H112" s="138"/>
      <c r="I112" s="203"/>
      <c r="J112" s="235"/>
      <c r="K112" s="267"/>
      <c r="L112" s="247"/>
      <c r="M112" s="247"/>
      <c r="N112" s="201"/>
      <c r="O112" s="212"/>
    </row>
    <row r="113" spans="2:15" s="18" customFormat="1" ht="13.85" x14ac:dyDescent="0.25">
      <c r="B113" s="251"/>
      <c r="C113" s="321"/>
      <c r="D113" s="220"/>
      <c r="E113" s="203"/>
      <c r="F113" s="223"/>
      <c r="G113" s="115">
        <v>4</v>
      </c>
      <c r="H113" s="138"/>
      <c r="I113" s="203"/>
      <c r="J113" s="235"/>
      <c r="K113" s="267"/>
      <c r="L113" s="247"/>
      <c r="M113" s="247"/>
      <c r="N113" s="201"/>
      <c r="O113" s="212"/>
    </row>
    <row r="114" spans="2:15" s="18" customFormat="1" ht="13.85" x14ac:dyDescent="0.25">
      <c r="B114" s="251"/>
      <c r="C114" s="321"/>
      <c r="D114" s="220"/>
      <c r="E114" s="203"/>
      <c r="F114" s="223"/>
      <c r="G114" s="115">
        <v>5</v>
      </c>
      <c r="H114" s="138"/>
      <c r="I114" s="203"/>
      <c r="J114" s="235"/>
      <c r="K114" s="267"/>
      <c r="L114" s="247"/>
      <c r="M114" s="247"/>
      <c r="N114" s="201"/>
      <c r="O114" s="212"/>
    </row>
    <row r="115" spans="2:15" s="18" customFormat="1" ht="13.85" x14ac:dyDescent="0.25">
      <c r="B115" s="251"/>
      <c r="C115" s="321"/>
      <c r="D115" s="220"/>
      <c r="E115" s="203"/>
      <c r="F115" s="223"/>
      <c r="G115" s="115">
        <v>6</v>
      </c>
      <c r="H115" s="138"/>
      <c r="I115" s="203"/>
      <c r="J115" s="235"/>
      <c r="K115" s="267"/>
      <c r="L115" s="247"/>
      <c r="M115" s="247"/>
      <c r="N115" s="201"/>
      <c r="O115" s="212"/>
    </row>
    <row r="116" spans="2:15" s="18" customFormat="1" ht="13.85" x14ac:dyDescent="0.25">
      <c r="B116" s="251"/>
      <c r="C116" s="321"/>
      <c r="D116" s="220"/>
      <c r="E116" s="203"/>
      <c r="F116" s="223"/>
      <c r="G116" s="115">
        <v>7</v>
      </c>
      <c r="H116" s="138"/>
      <c r="I116" s="203"/>
      <c r="J116" s="235"/>
      <c r="K116" s="267"/>
      <c r="L116" s="247"/>
      <c r="M116" s="247"/>
      <c r="N116" s="201"/>
      <c r="O116" s="212"/>
    </row>
    <row r="117" spans="2:15" s="18" customFormat="1" ht="14.4" thickBot="1" x14ac:dyDescent="0.3">
      <c r="B117" s="252"/>
      <c r="C117" s="322"/>
      <c r="D117" s="221"/>
      <c r="E117" s="204"/>
      <c r="F117" s="224"/>
      <c r="G117" s="120">
        <v>8</v>
      </c>
      <c r="H117" s="139"/>
      <c r="I117" s="204"/>
      <c r="J117" s="236"/>
      <c r="K117" s="268"/>
      <c r="L117" s="247"/>
      <c r="M117" s="247"/>
      <c r="N117" s="201"/>
      <c r="O117" s="212"/>
    </row>
    <row r="118" spans="2:15" s="18" customFormat="1" ht="21.05" customHeight="1" x14ac:dyDescent="0.25">
      <c r="B118" s="250" t="str">
        <f>+LEFT(C118,3)</f>
        <v>3.3</v>
      </c>
      <c r="C118" s="320" t="s">
        <v>148</v>
      </c>
      <c r="D118" s="219" t="s">
        <v>149</v>
      </c>
      <c r="E118" s="205" t="s">
        <v>374</v>
      </c>
      <c r="F118" s="202">
        <v>3</v>
      </c>
      <c r="G118" s="121">
        <v>1</v>
      </c>
      <c r="H118" s="137" t="s">
        <v>375</v>
      </c>
      <c r="I118" s="205" t="s">
        <v>377</v>
      </c>
      <c r="J118" s="317">
        <v>3</v>
      </c>
      <c r="K118" s="266" t="str">
        <f t="shared" si="17"/>
        <v>Mantenimiento del control</v>
      </c>
      <c r="L118" s="247">
        <f t="shared" si="18"/>
        <v>60</v>
      </c>
      <c r="M118" s="247">
        <v>0.48964999999999997</v>
      </c>
      <c r="N118" s="201">
        <f t="shared" si="19"/>
        <v>60.489649999999997</v>
      </c>
      <c r="O118" s="212"/>
    </row>
    <row r="119" spans="2:15" s="18" customFormat="1" ht="21.05" customHeight="1" x14ac:dyDescent="0.25">
      <c r="B119" s="251"/>
      <c r="C119" s="321"/>
      <c r="D119" s="220"/>
      <c r="E119" s="206"/>
      <c r="F119" s="203"/>
      <c r="G119" s="115">
        <v>2</v>
      </c>
      <c r="H119" s="138" t="s">
        <v>376</v>
      </c>
      <c r="I119" s="206"/>
      <c r="J119" s="318"/>
      <c r="K119" s="267"/>
      <c r="L119" s="247"/>
      <c r="M119" s="247"/>
      <c r="N119" s="201"/>
      <c r="O119" s="212"/>
    </row>
    <row r="120" spans="2:15" s="18" customFormat="1" ht="21.05" customHeight="1" x14ac:dyDescent="0.25">
      <c r="B120" s="251"/>
      <c r="C120" s="321"/>
      <c r="D120" s="220"/>
      <c r="E120" s="206"/>
      <c r="F120" s="203"/>
      <c r="G120" s="115">
        <v>3</v>
      </c>
      <c r="H120" s="138"/>
      <c r="I120" s="206"/>
      <c r="J120" s="318"/>
      <c r="K120" s="267"/>
      <c r="L120" s="247"/>
      <c r="M120" s="247"/>
      <c r="N120" s="201"/>
      <c r="O120" s="212"/>
    </row>
    <row r="121" spans="2:15" s="18" customFormat="1" ht="21.05" customHeight="1" x14ac:dyDescent="0.25">
      <c r="B121" s="251"/>
      <c r="C121" s="321"/>
      <c r="D121" s="220"/>
      <c r="E121" s="206"/>
      <c r="F121" s="203"/>
      <c r="G121" s="115">
        <v>4</v>
      </c>
      <c r="H121" s="138"/>
      <c r="I121" s="206"/>
      <c r="J121" s="318"/>
      <c r="K121" s="267"/>
      <c r="L121" s="247"/>
      <c r="M121" s="247"/>
      <c r="N121" s="201"/>
      <c r="O121" s="212"/>
    </row>
    <row r="122" spans="2:15" s="18" customFormat="1" ht="21.05" customHeight="1" x14ac:dyDescent="0.25">
      <c r="B122" s="251"/>
      <c r="C122" s="321"/>
      <c r="D122" s="220"/>
      <c r="E122" s="206"/>
      <c r="F122" s="203"/>
      <c r="G122" s="115">
        <v>5</v>
      </c>
      <c r="H122" s="138"/>
      <c r="I122" s="206"/>
      <c r="J122" s="318"/>
      <c r="K122" s="267"/>
      <c r="L122" s="247"/>
      <c r="M122" s="247"/>
      <c r="N122" s="201"/>
      <c r="O122" s="212"/>
    </row>
    <row r="123" spans="2:15" s="18" customFormat="1" ht="21.05" customHeight="1" x14ac:dyDescent="0.25">
      <c r="B123" s="251"/>
      <c r="C123" s="321"/>
      <c r="D123" s="220"/>
      <c r="E123" s="206"/>
      <c r="F123" s="203"/>
      <c r="G123" s="115">
        <v>6</v>
      </c>
      <c r="H123" s="138"/>
      <c r="I123" s="206"/>
      <c r="J123" s="318"/>
      <c r="K123" s="267"/>
      <c r="L123" s="247"/>
      <c r="M123" s="247"/>
      <c r="N123" s="201"/>
      <c r="O123" s="212"/>
    </row>
    <row r="124" spans="2:15" s="18" customFormat="1" ht="21.05" customHeight="1" x14ac:dyDescent="0.25">
      <c r="B124" s="251"/>
      <c r="C124" s="321"/>
      <c r="D124" s="220"/>
      <c r="E124" s="206"/>
      <c r="F124" s="203"/>
      <c r="G124" s="115">
        <v>7</v>
      </c>
      <c r="H124" s="138"/>
      <c r="I124" s="206"/>
      <c r="J124" s="318"/>
      <c r="K124" s="267"/>
      <c r="L124" s="247"/>
      <c r="M124" s="247"/>
      <c r="N124" s="201"/>
      <c r="O124" s="212"/>
    </row>
    <row r="125" spans="2:15" s="18" customFormat="1" ht="21.05" customHeight="1" thickBot="1" x14ac:dyDescent="0.3">
      <c r="B125" s="252"/>
      <c r="C125" s="322"/>
      <c r="D125" s="221"/>
      <c r="E125" s="207"/>
      <c r="F125" s="204"/>
      <c r="G125" s="120">
        <v>8</v>
      </c>
      <c r="H125" s="139"/>
      <c r="I125" s="207"/>
      <c r="J125" s="319"/>
      <c r="K125" s="268"/>
      <c r="L125" s="247"/>
      <c r="M125" s="247"/>
      <c r="N125" s="201"/>
      <c r="O125" s="212"/>
    </row>
    <row r="126" spans="2:15" ht="27.8" customHeight="1" x14ac:dyDescent="0.25">
      <c r="B126" s="253"/>
      <c r="C126" s="237" t="s">
        <v>150</v>
      </c>
      <c r="D126" s="239" t="s">
        <v>8</v>
      </c>
      <c r="E126" s="294" t="s">
        <v>114</v>
      </c>
      <c r="F126" s="242" t="s">
        <v>115</v>
      </c>
      <c r="G126" s="283" t="s">
        <v>116</v>
      </c>
      <c r="H126" s="284"/>
      <c r="I126" s="285"/>
      <c r="J126" s="242" t="s">
        <v>117</v>
      </c>
      <c r="K126" s="271" t="s">
        <v>136</v>
      </c>
      <c r="L126" s="248"/>
      <c r="M126" s="248"/>
      <c r="N126" s="210"/>
      <c r="O126" s="213"/>
    </row>
    <row r="127" spans="2:15" ht="65.95" customHeight="1" x14ac:dyDescent="0.25">
      <c r="B127" s="254"/>
      <c r="C127" s="238"/>
      <c r="D127" s="240"/>
      <c r="E127" s="295"/>
      <c r="F127" s="242"/>
      <c r="G127" s="244" t="s">
        <v>13</v>
      </c>
      <c r="H127" s="296" t="s">
        <v>15</v>
      </c>
      <c r="I127" s="286" t="s">
        <v>17</v>
      </c>
      <c r="J127" s="242"/>
      <c r="K127" s="269"/>
      <c r="L127" s="248"/>
      <c r="M127" s="248"/>
      <c r="N127" s="210"/>
      <c r="O127" s="213"/>
    </row>
    <row r="128" spans="2:15" ht="14.25" customHeight="1" thickBot="1" x14ac:dyDescent="0.3">
      <c r="B128" s="254"/>
      <c r="C128" s="238"/>
      <c r="D128" s="241"/>
      <c r="E128" s="287"/>
      <c r="F128" s="243"/>
      <c r="G128" s="245"/>
      <c r="H128" s="286"/>
      <c r="I128" s="287"/>
      <c r="J128" s="243"/>
      <c r="K128" s="270"/>
      <c r="L128" s="248"/>
      <c r="M128" s="248"/>
      <c r="N128" s="210"/>
      <c r="O128" s="213"/>
    </row>
    <row r="129" spans="2:15" ht="21.05" customHeight="1" x14ac:dyDescent="0.25">
      <c r="B129" s="250" t="str">
        <f>+LEFT(C129,3)</f>
        <v>4.1</v>
      </c>
      <c r="C129" s="231" t="s">
        <v>151</v>
      </c>
      <c r="D129" s="219" t="s">
        <v>152</v>
      </c>
      <c r="E129" s="222" t="s">
        <v>370</v>
      </c>
      <c r="F129" s="222">
        <v>2</v>
      </c>
      <c r="G129" s="121">
        <v>1</v>
      </c>
      <c r="H129" s="137"/>
      <c r="I129" s="202" t="s">
        <v>379</v>
      </c>
      <c r="J129" s="202">
        <v>2</v>
      </c>
      <c r="K129" s="246" t="str">
        <f t="shared" ref="K129:K177" si="20">+IF(OR(ISBLANK(F129),ISBLANK(J129)),"",IF(OR(AND(F129=1,J129=1),AND(F129=1,J129=2),AND(F129=1,J129=3)),"Deficiencia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47">
        <f t="shared" ref="L129:L177" si="21">+IF(K129="",0,IF(K129="Deficiencia de control mayor (diseño y ejecución)",4,IF(K129="Deficiencia de control (diseño o ejecución)",20,IF(K129="Oportunidad de mejora",40,60))))</f>
        <v>20</v>
      </c>
      <c r="M129" s="247">
        <v>0.58965000000000001</v>
      </c>
      <c r="N129" s="201">
        <f t="shared" ref="N129:N177" si="22">+L129+M129</f>
        <v>20.589649999999999</v>
      </c>
      <c r="O129" s="212"/>
    </row>
    <row r="130" spans="2:15" s="18" customFormat="1" ht="21.05" customHeight="1" x14ac:dyDescent="0.25">
      <c r="B130" s="251"/>
      <c r="C130" s="232"/>
      <c r="D130" s="220"/>
      <c r="E130" s="223"/>
      <c r="F130" s="223"/>
      <c r="G130" s="115">
        <v>2</v>
      </c>
      <c r="H130" s="138" t="s">
        <v>378</v>
      </c>
      <c r="I130" s="203"/>
      <c r="J130" s="203"/>
      <c r="K130" s="246"/>
      <c r="L130" s="247"/>
      <c r="M130" s="247"/>
      <c r="N130" s="201"/>
      <c r="O130" s="212"/>
    </row>
    <row r="131" spans="2:15" s="18" customFormat="1" ht="21.05" customHeight="1" x14ac:dyDescent="0.25">
      <c r="B131" s="251"/>
      <c r="C131" s="232"/>
      <c r="D131" s="220"/>
      <c r="E131" s="223"/>
      <c r="F131" s="223"/>
      <c r="G131" s="115">
        <v>3</v>
      </c>
      <c r="H131" s="138"/>
      <c r="I131" s="203"/>
      <c r="J131" s="203"/>
      <c r="K131" s="246"/>
      <c r="L131" s="247"/>
      <c r="M131" s="247"/>
      <c r="N131" s="201"/>
      <c r="O131" s="212"/>
    </row>
    <row r="132" spans="2:15" s="18" customFormat="1" ht="21.05" customHeight="1" x14ac:dyDescent="0.25">
      <c r="B132" s="251"/>
      <c r="C132" s="232"/>
      <c r="D132" s="220"/>
      <c r="E132" s="223"/>
      <c r="F132" s="223"/>
      <c r="G132" s="115">
        <v>4</v>
      </c>
      <c r="H132" s="138"/>
      <c r="I132" s="203"/>
      <c r="J132" s="203"/>
      <c r="K132" s="246"/>
      <c r="L132" s="247"/>
      <c r="M132" s="247"/>
      <c r="N132" s="201"/>
      <c r="O132" s="212"/>
    </row>
    <row r="133" spans="2:15" s="18" customFormat="1" ht="21.05" customHeight="1" x14ac:dyDescent="0.25">
      <c r="B133" s="251"/>
      <c r="C133" s="232"/>
      <c r="D133" s="220"/>
      <c r="E133" s="223"/>
      <c r="F133" s="223"/>
      <c r="G133" s="115">
        <v>5</v>
      </c>
      <c r="H133" s="138"/>
      <c r="I133" s="203"/>
      <c r="J133" s="203"/>
      <c r="K133" s="246"/>
      <c r="L133" s="247"/>
      <c r="M133" s="247"/>
      <c r="N133" s="201"/>
      <c r="O133" s="212"/>
    </row>
    <row r="134" spans="2:15" s="18" customFormat="1" ht="21.05" customHeight="1" x14ac:dyDescent="0.25">
      <c r="B134" s="251"/>
      <c r="C134" s="232"/>
      <c r="D134" s="220"/>
      <c r="E134" s="223"/>
      <c r="F134" s="223"/>
      <c r="G134" s="115">
        <v>6</v>
      </c>
      <c r="H134" s="138"/>
      <c r="I134" s="203"/>
      <c r="J134" s="203"/>
      <c r="K134" s="246"/>
      <c r="L134" s="247"/>
      <c r="M134" s="247"/>
      <c r="N134" s="201"/>
      <c r="O134" s="212"/>
    </row>
    <row r="135" spans="2:15" s="18" customFormat="1" ht="21.05" customHeight="1" x14ac:dyDescent="0.25">
      <c r="B135" s="251"/>
      <c r="C135" s="232"/>
      <c r="D135" s="220"/>
      <c r="E135" s="223"/>
      <c r="F135" s="223"/>
      <c r="G135" s="115">
        <v>7</v>
      </c>
      <c r="H135" s="138"/>
      <c r="I135" s="203"/>
      <c r="J135" s="203"/>
      <c r="K135" s="246"/>
      <c r="L135" s="247"/>
      <c r="M135" s="247"/>
      <c r="N135" s="201"/>
      <c r="O135" s="212"/>
    </row>
    <row r="136" spans="2:15" s="18" customFormat="1" ht="21.05" customHeight="1" thickBot="1" x14ac:dyDescent="0.3">
      <c r="B136" s="252"/>
      <c r="C136" s="233"/>
      <c r="D136" s="221"/>
      <c r="E136" s="224"/>
      <c r="F136" s="224"/>
      <c r="G136" s="120">
        <v>8</v>
      </c>
      <c r="H136" s="139"/>
      <c r="I136" s="204"/>
      <c r="J136" s="204"/>
      <c r="K136" s="246"/>
      <c r="L136" s="247"/>
      <c r="M136" s="247"/>
      <c r="N136" s="201"/>
      <c r="O136" s="212"/>
    </row>
    <row r="137" spans="2:15" s="18" customFormat="1" ht="21.05" customHeight="1" x14ac:dyDescent="0.25">
      <c r="B137" s="250" t="str">
        <f>+LEFT(C137,3)</f>
        <v>4.2</v>
      </c>
      <c r="C137" s="231" t="s">
        <v>153</v>
      </c>
      <c r="D137" s="219" t="s">
        <v>152</v>
      </c>
      <c r="E137" s="288" t="s">
        <v>380</v>
      </c>
      <c r="F137" s="222">
        <v>3</v>
      </c>
      <c r="G137" s="121">
        <v>1</v>
      </c>
      <c r="H137" s="150" t="s">
        <v>373</v>
      </c>
      <c r="I137" s="202" t="s">
        <v>381</v>
      </c>
      <c r="J137" s="202">
        <v>3</v>
      </c>
      <c r="K137" s="246" t="str">
        <f t="shared" si="20"/>
        <v>Mantenimiento del control</v>
      </c>
      <c r="L137" s="247">
        <f t="shared" si="21"/>
        <v>60</v>
      </c>
      <c r="M137" s="247">
        <v>0.68964999999999999</v>
      </c>
      <c r="N137" s="201">
        <f t="shared" si="22"/>
        <v>60.68965</v>
      </c>
      <c r="O137" s="212"/>
    </row>
    <row r="138" spans="2:15" s="18" customFormat="1" ht="21.05" customHeight="1" x14ac:dyDescent="0.25">
      <c r="B138" s="251"/>
      <c r="C138" s="232"/>
      <c r="D138" s="220"/>
      <c r="E138" s="289"/>
      <c r="F138" s="223"/>
      <c r="G138" s="115">
        <v>2</v>
      </c>
      <c r="H138" s="138"/>
      <c r="I138" s="203"/>
      <c r="J138" s="203"/>
      <c r="K138" s="246"/>
      <c r="L138" s="247"/>
      <c r="M138" s="247"/>
      <c r="N138" s="201"/>
      <c r="O138" s="212"/>
    </row>
    <row r="139" spans="2:15" s="18" customFormat="1" ht="21.05" customHeight="1" x14ac:dyDescent="0.25">
      <c r="B139" s="251"/>
      <c r="C139" s="232"/>
      <c r="D139" s="220"/>
      <c r="E139" s="289"/>
      <c r="F139" s="223"/>
      <c r="G139" s="115">
        <v>3</v>
      </c>
      <c r="H139" s="138"/>
      <c r="I139" s="203"/>
      <c r="J139" s="203"/>
      <c r="K139" s="246"/>
      <c r="L139" s="247"/>
      <c r="M139" s="247"/>
      <c r="N139" s="201"/>
      <c r="O139" s="212"/>
    </row>
    <row r="140" spans="2:15" s="18" customFormat="1" ht="21.05" customHeight="1" x14ac:dyDescent="0.25">
      <c r="B140" s="251"/>
      <c r="C140" s="232"/>
      <c r="D140" s="220"/>
      <c r="E140" s="289"/>
      <c r="F140" s="223"/>
      <c r="G140" s="115">
        <v>4</v>
      </c>
      <c r="H140" s="138"/>
      <c r="I140" s="203"/>
      <c r="J140" s="203"/>
      <c r="K140" s="246"/>
      <c r="L140" s="247"/>
      <c r="M140" s="247"/>
      <c r="N140" s="201"/>
      <c r="O140" s="212"/>
    </row>
    <row r="141" spans="2:15" s="18" customFormat="1" ht="21.05" customHeight="1" x14ac:dyDescent="0.25">
      <c r="B141" s="251"/>
      <c r="C141" s="232"/>
      <c r="D141" s="220"/>
      <c r="E141" s="289"/>
      <c r="F141" s="223"/>
      <c r="G141" s="115">
        <v>5</v>
      </c>
      <c r="H141" s="138"/>
      <c r="I141" s="203"/>
      <c r="J141" s="203"/>
      <c r="K141" s="246"/>
      <c r="L141" s="247"/>
      <c r="M141" s="247"/>
      <c r="N141" s="201"/>
      <c r="O141" s="212"/>
    </row>
    <row r="142" spans="2:15" s="18" customFormat="1" ht="21.05" customHeight="1" x14ac:dyDescent="0.25">
      <c r="B142" s="251"/>
      <c r="C142" s="232"/>
      <c r="D142" s="220"/>
      <c r="E142" s="289"/>
      <c r="F142" s="223"/>
      <c r="G142" s="115">
        <v>6</v>
      </c>
      <c r="H142" s="138"/>
      <c r="I142" s="203"/>
      <c r="J142" s="203"/>
      <c r="K142" s="246"/>
      <c r="L142" s="247"/>
      <c r="M142" s="247"/>
      <c r="N142" s="201"/>
      <c r="O142" s="212"/>
    </row>
    <row r="143" spans="2:15" s="18" customFormat="1" ht="21.05" customHeight="1" x14ac:dyDescent="0.25">
      <c r="B143" s="251"/>
      <c r="C143" s="232"/>
      <c r="D143" s="220"/>
      <c r="E143" s="289"/>
      <c r="F143" s="223"/>
      <c r="G143" s="115">
        <v>7</v>
      </c>
      <c r="H143" s="138"/>
      <c r="I143" s="203"/>
      <c r="J143" s="203"/>
      <c r="K143" s="246"/>
      <c r="L143" s="247"/>
      <c r="M143" s="247"/>
      <c r="N143" s="201"/>
      <c r="O143" s="212"/>
    </row>
    <row r="144" spans="2:15" s="18" customFormat="1" ht="21.05" customHeight="1" thickBot="1" x14ac:dyDescent="0.3">
      <c r="B144" s="252"/>
      <c r="C144" s="233"/>
      <c r="D144" s="221"/>
      <c r="E144" s="290"/>
      <c r="F144" s="224"/>
      <c r="G144" s="120">
        <v>8</v>
      </c>
      <c r="H144" s="139"/>
      <c r="I144" s="204"/>
      <c r="J144" s="204"/>
      <c r="K144" s="246"/>
      <c r="L144" s="247"/>
      <c r="M144" s="247"/>
      <c r="N144" s="201"/>
      <c r="O144" s="212"/>
    </row>
    <row r="145" spans="2:15" s="18" customFormat="1" ht="21.05" customHeight="1" x14ac:dyDescent="0.25">
      <c r="B145" s="250" t="str">
        <f>+LEFT(C145,3)</f>
        <v>4.3</v>
      </c>
      <c r="C145" s="231" t="s">
        <v>154</v>
      </c>
      <c r="D145" s="219" t="s">
        <v>152</v>
      </c>
      <c r="E145" s="202" t="s">
        <v>382</v>
      </c>
      <c r="F145" s="202">
        <v>3</v>
      </c>
      <c r="G145" s="121">
        <v>1</v>
      </c>
      <c r="H145" s="137"/>
      <c r="I145" s="202" t="s">
        <v>385</v>
      </c>
      <c r="J145" s="202">
        <v>3</v>
      </c>
      <c r="K145" s="246" t="str">
        <f t="shared" si="20"/>
        <v>Mantenimiento del control</v>
      </c>
      <c r="L145" s="247">
        <f t="shared" si="21"/>
        <v>60</v>
      </c>
      <c r="M145" s="247">
        <v>0.78964999999999996</v>
      </c>
      <c r="N145" s="201">
        <f t="shared" si="22"/>
        <v>60.789650000000002</v>
      </c>
      <c r="O145" s="212"/>
    </row>
    <row r="146" spans="2:15" s="18" customFormat="1" ht="21.05" customHeight="1" x14ac:dyDescent="0.25">
      <c r="B146" s="251"/>
      <c r="C146" s="232"/>
      <c r="D146" s="220"/>
      <c r="E146" s="203"/>
      <c r="F146" s="203"/>
      <c r="G146" s="115">
        <v>2</v>
      </c>
      <c r="H146" s="138" t="s">
        <v>384</v>
      </c>
      <c r="I146" s="203"/>
      <c r="J146" s="203"/>
      <c r="K146" s="246"/>
      <c r="L146" s="247"/>
      <c r="M146" s="247"/>
      <c r="N146" s="201"/>
      <c r="O146" s="212"/>
    </row>
    <row r="147" spans="2:15" s="18" customFormat="1" ht="21.05" customHeight="1" x14ac:dyDescent="0.25">
      <c r="B147" s="251"/>
      <c r="C147" s="232"/>
      <c r="D147" s="220"/>
      <c r="E147" s="203"/>
      <c r="F147" s="203"/>
      <c r="G147" s="115">
        <v>3</v>
      </c>
      <c r="H147" s="138"/>
      <c r="I147" s="203"/>
      <c r="J147" s="203"/>
      <c r="K147" s="246"/>
      <c r="L147" s="247"/>
      <c r="M147" s="247"/>
      <c r="N147" s="201"/>
      <c r="O147" s="212"/>
    </row>
    <row r="148" spans="2:15" s="18" customFormat="1" ht="21.05" customHeight="1" x14ac:dyDescent="0.25">
      <c r="B148" s="251"/>
      <c r="C148" s="232"/>
      <c r="D148" s="220"/>
      <c r="E148" s="203"/>
      <c r="F148" s="203"/>
      <c r="G148" s="115">
        <v>4</v>
      </c>
      <c r="H148" s="138"/>
      <c r="I148" s="203"/>
      <c r="J148" s="203"/>
      <c r="K148" s="246"/>
      <c r="L148" s="247"/>
      <c r="M148" s="247"/>
      <c r="N148" s="201"/>
      <c r="O148" s="212"/>
    </row>
    <row r="149" spans="2:15" s="18" customFormat="1" ht="21.05" customHeight="1" x14ac:dyDescent="0.25">
      <c r="B149" s="251"/>
      <c r="C149" s="232"/>
      <c r="D149" s="220"/>
      <c r="E149" s="203"/>
      <c r="F149" s="203"/>
      <c r="G149" s="115">
        <v>5</v>
      </c>
      <c r="H149" s="138"/>
      <c r="I149" s="203"/>
      <c r="J149" s="203"/>
      <c r="K149" s="246"/>
      <c r="L149" s="247"/>
      <c r="M149" s="247"/>
      <c r="N149" s="201"/>
      <c r="O149" s="212"/>
    </row>
    <row r="150" spans="2:15" s="18" customFormat="1" ht="21.05" customHeight="1" x14ac:dyDescent="0.25">
      <c r="B150" s="251"/>
      <c r="C150" s="232"/>
      <c r="D150" s="220"/>
      <c r="E150" s="203"/>
      <c r="F150" s="203"/>
      <c r="G150" s="115">
        <v>6</v>
      </c>
      <c r="H150" s="138"/>
      <c r="I150" s="203"/>
      <c r="J150" s="203"/>
      <c r="K150" s="246"/>
      <c r="L150" s="247"/>
      <c r="M150" s="247"/>
      <c r="N150" s="201"/>
      <c r="O150" s="212"/>
    </row>
    <row r="151" spans="2:15" s="18" customFormat="1" ht="21.05" customHeight="1" x14ac:dyDescent="0.25">
      <c r="B151" s="251"/>
      <c r="C151" s="232"/>
      <c r="D151" s="220"/>
      <c r="E151" s="203"/>
      <c r="F151" s="203"/>
      <c r="G151" s="115">
        <v>7</v>
      </c>
      <c r="H151" s="138"/>
      <c r="I151" s="203"/>
      <c r="J151" s="203"/>
      <c r="K151" s="246"/>
      <c r="L151" s="247"/>
      <c r="M151" s="247"/>
      <c r="N151" s="201"/>
      <c r="O151" s="212"/>
    </row>
    <row r="152" spans="2:15" s="18" customFormat="1" ht="21.05" customHeight="1" thickBot="1" x14ac:dyDescent="0.3">
      <c r="B152" s="252"/>
      <c r="C152" s="233"/>
      <c r="D152" s="221"/>
      <c r="E152" s="204"/>
      <c r="F152" s="204"/>
      <c r="G152" s="120">
        <v>8</v>
      </c>
      <c r="H152" s="139"/>
      <c r="I152" s="204"/>
      <c r="J152" s="204"/>
      <c r="K152" s="246"/>
      <c r="L152" s="247"/>
      <c r="M152" s="247"/>
      <c r="N152" s="201"/>
      <c r="O152" s="212"/>
    </row>
    <row r="153" spans="2:15" s="18" customFormat="1" ht="21.05" customHeight="1" x14ac:dyDescent="0.25">
      <c r="B153" s="250" t="str">
        <f>+LEFT(C153,3)</f>
        <v>4.4</v>
      </c>
      <c r="C153" s="231" t="s">
        <v>155</v>
      </c>
      <c r="D153" s="219" t="s">
        <v>152</v>
      </c>
      <c r="E153" s="288" t="s">
        <v>386</v>
      </c>
      <c r="F153" s="202">
        <v>1</v>
      </c>
      <c r="G153" s="121">
        <v>1</v>
      </c>
      <c r="H153" s="137"/>
      <c r="I153" s="205" t="s">
        <v>387</v>
      </c>
      <c r="J153" s="202">
        <v>1</v>
      </c>
      <c r="K153" s="246" t="str">
        <f t="shared" si="20"/>
        <v>Deficiencia de control mayor (diseño y ejecución)</v>
      </c>
      <c r="L153" s="247">
        <f t="shared" si="21"/>
        <v>4</v>
      </c>
      <c r="M153" s="247">
        <v>0.88965000000000005</v>
      </c>
      <c r="N153" s="201">
        <f t="shared" si="22"/>
        <v>4.8896499999999996</v>
      </c>
      <c r="O153" s="212"/>
    </row>
    <row r="154" spans="2:15" s="18" customFormat="1" ht="21.05" customHeight="1" x14ac:dyDescent="0.25">
      <c r="B154" s="251"/>
      <c r="C154" s="232"/>
      <c r="D154" s="220"/>
      <c r="E154" s="289"/>
      <c r="F154" s="203"/>
      <c r="G154" s="115">
        <v>2</v>
      </c>
      <c r="H154" s="138"/>
      <c r="I154" s="206"/>
      <c r="J154" s="203"/>
      <c r="K154" s="246"/>
      <c r="L154" s="247"/>
      <c r="M154" s="247"/>
      <c r="N154" s="201"/>
      <c r="O154" s="212"/>
    </row>
    <row r="155" spans="2:15" s="18" customFormat="1" ht="21.05" customHeight="1" x14ac:dyDescent="0.25">
      <c r="B155" s="251"/>
      <c r="C155" s="232"/>
      <c r="D155" s="220"/>
      <c r="E155" s="289"/>
      <c r="F155" s="203"/>
      <c r="G155" s="115">
        <v>3</v>
      </c>
      <c r="H155" s="138"/>
      <c r="I155" s="206"/>
      <c r="J155" s="203"/>
      <c r="K155" s="246"/>
      <c r="L155" s="247"/>
      <c r="M155" s="247"/>
      <c r="N155" s="201"/>
      <c r="O155" s="212"/>
    </row>
    <row r="156" spans="2:15" s="18" customFormat="1" ht="21.05" customHeight="1" x14ac:dyDescent="0.25">
      <c r="B156" s="251"/>
      <c r="C156" s="232"/>
      <c r="D156" s="220"/>
      <c r="E156" s="289"/>
      <c r="F156" s="203"/>
      <c r="G156" s="115">
        <v>4</v>
      </c>
      <c r="H156" s="138"/>
      <c r="I156" s="206"/>
      <c r="J156" s="203"/>
      <c r="K156" s="246"/>
      <c r="L156" s="247"/>
      <c r="M156" s="247"/>
      <c r="N156" s="201"/>
      <c r="O156" s="212"/>
    </row>
    <row r="157" spans="2:15" s="18" customFormat="1" ht="21.05" customHeight="1" x14ac:dyDescent="0.25">
      <c r="B157" s="251"/>
      <c r="C157" s="232"/>
      <c r="D157" s="220"/>
      <c r="E157" s="289"/>
      <c r="F157" s="203"/>
      <c r="G157" s="115">
        <v>5</v>
      </c>
      <c r="H157" s="138"/>
      <c r="I157" s="206"/>
      <c r="J157" s="203"/>
      <c r="K157" s="246"/>
      <c r="L157" s="247"/>
      <c r="M157" s="247"/>
      <c r="N157" s="201"/>
      <c r="O157" s="212"/>
    </row>
    <row r="158" spans="2:15" s="18" customFormat="1" ht="21.05" customHeight="1" x14ac:dyDescent="0.25">
      <c r="B158" s="251"/>
      <c r="C158" s="232"/>
      <c r="D158" s="220"/>
      <c r="E158" s="289"/>
      <c r="F158" s="203"/>
      <c r="G158" s="115">
        <v>6</v>
      </c>
      <c r="H158" s="138"/>
      <c r="I158" s="206"/>
      <c r="J158" s="203"/>
      <c r="K158" s="246"/>
      <c r="L158" s="247"/>
      <c r="M158" s="247"/>
      <c r="N158" s="201"/>
      <c r="O158" s="212"/>
    </row>
    <row r="159" spans="2:15" s="18" customFormat="1" ht="21.05" customHeight="1" x14ac:dyDescent="0.25">
      <c r="B159" s="251"/>
      <c r="C159" s="232"/>
      <c r="D159" s="220"/>
      <c r="E159" s="289"/>
      <c r="F159" s="203"/>
      <c r="G159" s="115">
        <v>7</v>
      </c>
      <c r="H159" s="138"/>
      <c r="I159" s="206"/>
      <c r="J159" s="203"/>
      <c r="K159" s="246"/>
      <c r="L159" s="247"/>
      <c r="M159" s="247"/>
      <c r="N159" s="201"/>
      <c r="O159" s="212"/>
    </row>
    <row r="160" spans="2:15" s="18" customFormat="1" ht="21.05" customHeight="1" thickBot="1" x14ac:dyDescent="0.3">
      <c r="B160" s="252"/>
      <c r="C160" s="233"/>
      <c r="D160" s="221"/>
      <c r="E160" s="290"/>
      <c r="F160" s="204"/>
      <c r="G160" s="120">
        <v>8</v>
      </c>
      <c r="H160" s="139"/>
      <c r="I160" s="207"/>
      <c r="J160" s="204"/>
      <c r="K160" s="246"/>
      <c r="L160" s="247"/>
      <c r="M160" s="247"/>
      <c r="N160" s="201"/>
      <c r="O160" s="212"/>
    </row>
    <row r="161" spans="2:15" s="18" customFormat="1" ht="21.05" customHeight="1" x14ac:dyDescent="0.25">
      <c r="B161" s="250" t="str">
        <f>+LEFT(C161,3)</f>
        <v>4.5</v>
      </c>
      <c r="C161" s="231" t="s">
        <v>156</v>
      </c>
      <c r="D161" s="219" t="s">
        <v>152</v>
      </c>
      <c r="E161" s="205" t="s">
        <v>388</v>
      </c>
      <c r="F161" s="202">
        <v>3</v>
      </c>
      <c r="G161" s="121">
        <v>1</v>
      </c>
      <c r="H161" s="137"/>
      <c r="I161" s="202" t="s">
        <v>390</v>
      </c>
      <c r="J161" s="202">
        <v>3</v>
      </c>
      <c r="K161" s="246" t="str">
        <f t="shared" si="20"/>
        <v>Mantenimiento del control</v>
      </c>
      <c r="L161" s="247">
        <f t="shared" si="21"/>
        <v>60</v>
      </c>
      <c r="M161" s="247">
        <v>0.98965000000000003</v>
      </c>
      <c r="N161" s="208">
        <f t="shared" si="22"/>
        <v>60.989649999999997</v>
      </c>
      <c r="O161" s="214"/>
    </row>
    <row r="162" spans="2:15" s="18" customFormat="1" ht="21.05" customHeight="1" x14ac:dyDescent="0.25">
      <c r="B162" s="251"/>
      <c r="C162" s="232"/>
      <c r="D162" s="220"/>
      <c r="E162" s="206"/>
      <c r="F162" s="203"/>
      <c r="G162" s="115">
        <v>2</v>
      </c>
      <c r="H162" s="138" t="s">
        <v>389</v>
      </c>
      <c r="I162" s="203"/>
      <c r="J162" s="203"/>
      <c r="K162" s="246"/>
      <c r="L162" s="247"/>
      <c r="M162" s="247"/>
      <c r="N162" s="208"/>
      <c r="O162" s="214"/>
    </row>
    <row r="163" spans="2:15" s="18" customFormat="1" ht="21.05" customHeight="1" x14ac:dyDescent="0.25">
      <c r="B163" s="251"/>
      <c r="C163" s="232"/>
      <c r="D163" s="220"/>
      <c r="E163" s="206"/>
      <c r="F163" s="203"/>
      <c r="G163" s="115">
        <v>3</v>
      </c>
      <c r="H163" s="138"/>
      <c r="I163" s="203"/>
      <c r="J163" s="203"/>
      <c r="K163" s="246"/>
      <c r="L163" s="247"/>
      <c r="M163" s="247"/>
      <c r="N163" s="208"/>
      <c r="O163" s="214"/>
    </row>
    <row r="164" spans="2:15" s="18" customFormat="1" ht="21.05" customHeight="1" x14ac:dyDescent="0.25">
      <c r="B164" s="251"/>
      <c r="C164" s="232"/>
      <c r="D164" s="220"/>
      <c r="E164" s="206"/>
      <c r="F164" s="203"/>
      <c r="G164" s="115">
        <v>4</v>
      </c>
      <c r="H164" s="138"/>
      <c r="I164" s="203"/>
      <c r="J164" s="203"/>
      <c r="K164" s="246"/>
      <c r="L164" s="247"/>
      <c r="M164" s="247"/>
      <c r="N164" s="208"/>
      <c r="O164" s="214"/>
    </row>
    <row r="165" spans="2:15" s="18" customFormat="1" ht="21.05" customHeight="1" x14ac:dyDescent="0.25">
      <c r="B165" s="251"/>
      <c r="C165" s="232"/>
      <c r="D165" s="220"/>
      <c r="E165" s="206"/>
      <c r="F165" s="203"/>
      <c r="G165" s="115">
        <v>5</v>
      </c>
      <c r="H165" s="138"/>
      <c r="I165" s="203"/>
      <c r="J165" s="203"/>
      <c r="K165" s="246"/>
      <c r="L165" s="247"/>
      <c r="M165" s="247"/>
      <c r="N165" s="208"/>
      <c r="O165" s="214"/>
    </row>
    <row r="166" spans="2:15" s="18" customFormat="1" ht="21.05" customHeight="1" x14ac:dyDescent="0.25">
      <c r="B166" s="251"/>
      <c r="C166" s="232"/>
      <c r="D166" s="220"/>
      <c r="E166" s="206"/>
      <c r="F166" s="203"/>
      <c r="G166" s="115">
        <v>6</v>
      </c>
      <c r="H166" s="138"/>
      <c r="I166" s="203"/>
      <c r="J166" s="203"/>
      <c r="K166" s="246"/>
      <c r="L166" s="247"/>
      <c r="M166" s="247"/>
      <c r="N166" s="208"/>
      <c r="O166" s="214"/>
    </row>
    <row r="167" spans="2:15" s="18" customFormat="1" ht="21.05" customHeight="1" x14ac:dyDescent="0.25">
      <c r="B167" s="251"/>
      <c r="C167" s="232"/>
      <c r="D167" s="220"/>
      <c r="E167" s="206"/>
      <c r="F167" s="203"/>
      <c r="G167" s="115">
        <v>7</v>
      </c>
      <c r="H167" s="138"/>
      <c r="I167" s="203"/>
      <c r="J167" s="203"/>
      <c r="K167" s="246"/>
      <c r="L167" s="247"/>
      <c r="M167" s="247"/>
      <c r="N167" s="208"/>
      <c r="O167" s="214"/>
    </row>
    <row r="168" spans="2:15" s="18" customFormat="1" ht="21.05" customHeight="1" thickBot="1" x14ac:dyDescent="0.3">
      <c r="B168" s="252"/>
      <c r="C168" s="233"/>
      <c r="D168" s="221"/>
      <c r="E168" s="207"/>
      <c r="F168" s="204"/>
      <c r="G168" s="120">
        <v>8</v>
      </c>
      <c r="H168" s="139"/>
      <c r="I168" s="204"/>
      <c r="J168" s="204"/>
      <c r="K168" s="246"/>
      <c r="L168" s="247"/>
      <c r="M168" s="247"/>
      <c r="N168" s="208"/>
      <c r="O168" s="214"/>
    </row>
    <row r="169" spans="2:15" s="18" customFormat="1" ht="21.05" customHeight="1" x14ac:dyDescent="0.25">
      <c r="B169" s="250" t="str">
        <f>+LEFT(C169,3)</f>
        <v>4.6</v>
      </c>
      <c r="C169" s="216" t="s">
        <v>157</v>
      </c>
      <c r="D169" s="219" t="s">
        <v>152</v>
      </c>
      <c r="E169" s="205" t="s">
        <v>449</v>
      </c>
      <c r="F169" s="202">
        <v>2</v>
      </c>
      <c r="G169" s="121">
        <v>1</v>
      </c>
      <c r="H169" s="137"/>
      <c r="I169" s="202" t="s">
        <v>391</v>
      </c>
      <c r="J169" s="202">
        <v>2</v>
      </c>
      <c r="K169" s="228" t="str">
        <f t="shared" si="20"/>
        <v>Deficiencia de control (diseño o ejecución)</v>
      </c>
      <c r="L169" s="247">
        <f t="shared" si="21"/>
        <v>20</v>
      </c>
      <c r="M169" s="247">
        <v>0.98965199999999998</v>
      </c>
      <c r="N169" s="209">
        <f t="shared" si="22"/>
        <v>20.989652</v>
      </c>
      <c r="O169" s="215"/>
    </row>
    <row r="170" spans="2:15" s="18" customFormat="1" ht="21.05" customHeight="1" x14ac:dyDescent="0.25">
      <c r="B170" s="251"/>
      <c r="C170" s="217"/>
      <c r="D170" s="220"/>
      <c r="E170" s="206"/>
      <c r="F170" s="203"/>
      <c r="G170" s="115">
        <v>2</v>
      </c>
      <c r="H170" s="138"/>
      <c r="I170" s="203"/>
      <c r="J170" s="203"/>
      <c r="K170" s="229"/>
      <c r="L170" s="247"/>
      <c r="M170" s="247"/>
      <c r="N170" s="209"/>
      <c r="O170" s="215"/>
    </row>
    <row r="171" spans="2:15" s="18" customFormat="1" ht="21.05" customHeight="1" x14ac:dyDescent="0.25">
      <c r="B171" s="251"/>
      <c r="C171" s="217"/>
      <c r="D171" s="220"/>
      <c r="E171" s="206"/>
      <c r="F171" s="203"/>
      <c r="G171" s="115">
        <v>3</v>
      </c>
      <c r="H171" s="138"/>
      <c r="I171" s="203"/>
      <c r="J171" s="203"/>
      <c r="K171" s="229"/>
      <c r="L171" s="247"/>
      <c r="M171" s="247"/>
      <c r="N171" s="209"/>
      <c r="O171" s="215"/>
    </row>
    <row r="172" spans="2:15" s="18" customFormat="1" ht="21.05" customHeight="1" x14ac:dyDescent="0.25">
      <c r="B172" s="251"/>
      <c r="C172" s="217"/>
      <c r="D172" s="220"/>
      <c r="E172" s="206"/>
      <c r="F172" s="203"/>
      <c r="G172" s="115">
        <v>4</v>
      </c>
      <c r="H172" s="138"/>
      <c r="I172" s="203"/>
      <c r="J172" s="203"/>
      <c r="K172" s="229"/>
      <c r="L172" s="247"/>
      <c r="M172" s="247"/>
      <c r="N172" s="209"/>
      <c r="O172" s="215"/>
    </row>
    <row r="173" spans="2:15" s="18" customFormat="1" ht="21.05" customHeight="1" x14ac:dyDescent="0.25">
      <c r="B173" s="251"/>
      <c r="C173" s="217"/>
      <c r="D173" s="220"/>
      <c r="E173" s="206"/>
      <c r="F173" s="203"/>
      <c r="G173" s="115">
        <v>5</v>
      </c>
      <c r="H173" s="152"/>
      <c r="I173" s="203"/>
      <c r="J173" s="203"/>
      <c r="K173" s="229"/>
      <c r="L173" s="247"/>
      <c r="M173" s="247"/>
      <c r="N173" s="209"/>
      <c r="O173" s="215"/>
    </row>
    <row r="174" spans="2:15" s="18" customFormat="1" ht="21.05" customHeight="1" x14ac:dyDescent="0.25">
      <c r="B174" s="251"/>
      <c r="C174" s="217"/>
      <c r="D174" s="220"/>
      <c r="E174" s="206"/>
      <c r="F174" s="203"/>
      <c r="G174" s="115">
        <v>6</v>
      </c>
      <c r="H174" s="138"/>
      <c r="I174" s="203"/>
      <c r="J174" s="203"/>
      <c r="K174" s="229"/>
      <c r="L174" s="247"/>
      <c r="M174" s="247"/>
      <c r="N174" s="209"/>
      <c r="O174" s="215"/>
    </row>
    <row r="175" spans="2:15" s="18" customFormat="1" ht="21.05" customHeight="1" x14ac:dyDescent="0.25">
      <c r="B175" s="251"/>
      <c r="C175" s="217"/>
      <c r="D175" s="220"/>
      <c r="E175" s="206"/>
      <c r="F175" s="203"/>
      <c r="G175" s="115">
        <v>7</v>
      </c>
      <c r="H175" s="138"/>
      <c r="I175" s="203"/>
      <c r="J175" s="203"/>
      <c r="K175" s="229"/>
      <c r="L175" s="247"/>
      <c r="M175" s="247"/>
      <c r="N175" s="209"/>
      <c r="O175" s="215"/>
    </row>
    <row r="176" spans="2:15" s="18" customFormat="1" ht="21.05" customHeight="1" thickBot="1" x14ac:dyDescent="0.3">
      <c r="B176" s="252"/>
      <c r="C176" s="218"/>
      <c r="D176" s="221"/>
      <c r="E176" s="207"/>
      <c r="F176" s="204"/>
      <c r="G176" s="120">
        <v>8</v>
      </c>
      <c r="H176" s="139"/>
      <c r="I176" s="204"/>
      <c r="J176" s="204"/>
      <c r="K176" s="230"/>
      <c r="L176" s="247"/>
      <c r="M176" s="247"/>
      <c r="N176" s="209"/>
      <c r="O176" s="215"/>
    </row>
    <row r="177" spans="2:15" s="18" customFormat="1" ht="21.05" customHeight="1" x14ac:dyDescent="0.25">
      <c r="B177" s="250" t="str">
        <f>+LEFT(C177,3)</f>
        <v>4.7</v>
      </c>
      <c r="C177" s="291" t="s">
        <v>158</v>
      </c>
      <c r="D177" s="219" t="s">
        <v>152</v>
      </c>
      <c r="E177" s="288" t="s">
        <v>392</v>
      </c>
      <c r="F177" s="222">
        <v>2</v>
      </c>
      <c r="G177" s="121">
        <v>1</v>
      </c>
      <c r="H177" s="137"/>
      <c r="I177" s="205" t="s">
        <v>393</v>
      </c>
      <c r="J177" s="202">
        <v>2</v>
      </c>
      <c r="K177" s="272" t="str">
        <f t="shared" si="20"/>
        <v>Deficiencia de control (diseño o ejecución)</v>
      </c>
      <c r="L177" s="247">
        <f t="shared" si="21"/>
        <v>20</v>
      </c>
      <c r="M177" s="247">
        <v>1.8962300000000001</v>
      </c>
      <c r="N177" s="201">
        <f t="shared" si="22"/>
        <v>21.896229999999999</v>
      </c>
      <c r="O177" s="212"/>
    </row>
    <row r="178" spans="2:15" s="18" customFormat="1" ht="21.05" customHeight="1" x14ac:dyDescent="0.25">
      <c r="B178" s="251"/>
      <c r="C178" s="292"/>
      <c r="D178" s="220"/>
      <c r="E178" s="289"/>
      <c r="F178" s="223"/>
      <c r="G178" s="115">
        <v>2</v>
      </c>
      <c r="H178" s="138"/>
      <c r="I178" s="206"/>
      <c r="J178" s="203"/>
      <c r="K178" s="246"/>
      <c r="L178" s="247"/>
      <c r="M178" s="247"/>
      <c r="N178" s="201"/>
      <c r="O178" s="212"/>
    </row>
    <row r="179" spans="2:15" s="18" customFormat="1" ht="21.05" customHeight="1" x14ac:dyDescent="0.25">
      <c r="B179" s="251"/>
      <c r="C179" s="292"/>
      <c r="D179" s="220"/>
      <c r="E179" s="289"/>
      <c r="F179" s="223"/>
      <c r="G179" s="115">
        <v>3</v>
      </c>
      <c r="H179" s="138"/>
      <c r="I179" s="206"/>
      <c r="J179" s="203"/>
      <c r="K179" s="246"/>
      <c r="L179" s="247"/>
      <c r="M179" s="247"/>
      <c r="N179" s="201"/>
      <c r="O179" s="212"/>
    </row>
    <row r="180" spans="2:15" s="18" customFormat="1" ht="21.05" customHeight="1" x14ac:dyDescent="0.25">
      <c r="B180" s="251"/>
      <c r="C180" s="292"/>
      <c r="D180" s="220"/>
      <c r="E180" s="289"/>
      <c r="F180" s="223"/>
      <c r="G180" s="115">
        <v>4</v>
      </c>
      <c r="H180" s="138"/>
      <c r="I180" s="206"/>
      <c r="J180" s="203"/>
      <c r="K180" s="246"/>
      <c r="L180" s="247"/>
      <c r="M180" s="247"/>
      <c r="N180" s="201"/>
      <c r="O180" s="212"/>
    </row>
    <row r="181" spans="2:15" s="18" customFormat="1" ht="21.05" customHeight="1" x14ac:dyDescent="0.25">
      <c r="B181" s="251"/>
      <c r="C181" s="292"/>
      <c r="D181" s="220"/>
      <c r="E181" s="289"/>
      <c r="F181" s="223"/>
      <c r="G181" s="115">
        <v>5</v>
      </c>
      <c r="H181" s="138"/>
      <c r="I181" s="206"/>
      <c r="J181" s="203"/>
      <c r="K181" s="246"/>
      <c r="L181" s="247"/>
      <c r="M181" s="247"/>
      <c r="N181" s="201"/>
      <c r="O181" s="212"/>
    </row>
    <row r="182" spans="2:15" s="18" customFormat="1" ht="21.05" customHeight="1" x14ac:dyDescent="0.25">
      <c r="B182" s="251"/>
      <c r="C182" s="292"/>
      <c r="D182" s="220"/>
      <c r="E182" s="289"/>
      <c r="F182" s="223"/>
      <c r="G182" s="115">
        <v>6</v>
      </c>
      <c r="H182" s="138"/>
      <c r="I182" s="206"/>
      <c r="J182" s="203"/>
      <c r="K182" s="246"/>
      <c r="L182" s="247"/>
      <c r="M182" s="247"/>
      <c r="N182" s="201"/>
      <c r="O182" s="212"/>
    </row>
    <row r="183" spans="2:15" s="18" customFormat="1" ht="21.05" customHeight="1" x14ac:dyDescent="0.25">
      <c r="B183" s="251"/>
      <c r="C183" s="292"/>
      <c r="D183" s="220"/>
      <c r="E183" s="289"/>
      <c r="F183" s="223"/>
      <c r="G183" s="115">
        <v>7</v>
      </c>
      <c r="H183" s="138"/>
      <c r="I183" s="206"/>
      <c r="J183" s="203"/>
      <c r="K183" s="246"/>
      <c r="L183" s="247"/>
      <c r="M183" s="247"/>
      <c r="N183" s="201"/>
      <c r="O183" s="212"/>
    </row>
    <row r="184" spans="2:15" s="18" customFormat="1" ht="21.05" customHeight="1" thickBot="1" x14ac:dyDescent="0.3">
      <c r="B184" s="252"/>
      <c r="C184" s="293"/>
      <c r="D184" s="221"/>
      <c r="E184" s="290"/>
      <c r="F184" s="224"/>
      <c r="G184" s="120">
        <v>8</v>
      </c>
      <c r="H184" s="139"/>
      <c r="I184" s="207"/>
      <c r="J184" s="204"/>
      <c r="K184" s="246"/>
      <c r="L184" s="247"/>
      <c r="M184" s="247"/>
      <c r="N184" s="201"/>
      <c r="O184" s="212"/>
    </row>
    <row r="185" spans="2:15" s="18" customFormat="1" ht="34.6" customHeight="1" x14ac:dyDescent="0.25">
      <c r="B185" s="253"/>
      <c r="C185" s="237" t="s">
        <v>159</v>
      </c>
      <c r="D185" s="239" t="s">
        <v>8</v>
      </c>
      <c r="E185" s="294" t="s">
        <v>114</v>
      </c>
      <c r="F185" s="242" t="s">
        <v>115</v>
      </c>
      <c r="G185" s="283" t="s">
        <v>116</v>
      </c>
      <c r="H185" s="284"/>
      <c r="I185" s="285"/>
      <c r="J185" s="242" t="s">
        <v>117</v>
      </c>
      <c r="K185" s="269" t="s">
        <v>136</v>
      </c>
      <c r="L185" s="248"/>
      <c r="M185" s="248"/>
      <c r="N185" s="210"/>
      <c r="O185" s="213"/>
    </row>
    <row r="186" spans="2:15" s="18" customFormat="1" ht="57.05" customHeight="1" x14ac:dyDescent="0.25">
      <c r="B186" s="254"/>
      <c r="C186" s="238"/>
      <c r="D186" s="240"/>
      <c r="E186" s="295"/>
      <c r="F186" s="242"/>
      <c r="G186" s="244" t="s">
        <v>13</v>
      </c>
      <c r="H186" s="296" t="s">
        <v>15</v>
      </c>
      <c r="I186" s="286" t="s">
        <v>17</v>
      </c>
      <c r="J186" s="242"/>
      <c r="K186" s="269"/>
      <c r="L186" s="248"/>
      <c r="M186" s="248"/>
      <c r="N186" s="210"/>
      <c r="O186" s="213"/>
    </row>
    <row r="187" spans="2:15" s="18" customFormat="1" ht="24.05" customHeight="1" thickBot="1" x14ac:dyDescent="0.3">
      <c r="B187" s="254"/>
      <c r="C187" s="238"/>
      <c r="D187" s="241"/>
      <c r="E187" s="287"/>
      <c r="F187" s="243"/>
      <c r="G187" s="245"/>
      <c r="H187" s="286"/>
      <c r="I187" s="287"/>
      <c r="J187" s="243"/>
      <c r="K187" s="270"/>
      <c r="L187" s="248"/>
      <c r="M187" s="248"/>
      <c r="N187" s="210"/>
      <c r="O187" s="213"/>
    </row>
    <row r="188" spans="2:15" ht="13.85" x14ac:dyDescent="0.25">
      <c r="B188" s="250" t="str">
        <f>+LEFT(C188,3)</f>
        <v>5.1</v>
      </c>
      <c r="C188" s="231" t="s">
        <v>160</v>
      </c>
      <c r="D188" s="219" t="s">
        <v>161</v>
      </c>
      <c r="E188" s="222" t="s">
        <v>394</v>
      </c>
      <c r="F188" s="222">
        <v>2</v>
      </c>
      <c r="G188" s="121">
        <v>1</v>
      </c>
      <c r="H188" s="137"/>
      <c r="I188" s="205" t="s">
        <v>396</v>
      </c>
      <c r="J188" s="202">
        <v>2</v>
      </c>
      <c r="K188" s="246" t="str">
        <f t="shared" ref="K188:K228" si="23">+IF(OR(ISBLANK(F188),ISBLANK(J188)),"",IF(OR(AND(F188=1,J188=1),AND(F188=1,J188=2),AND(F188=1,J188=3)),"Deficiencia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247">
        <f t="shared" ref="L188:L228" si="24">+IF(K188="",0,IF(K188="Deficiencia de control mayor (diseño y ejecución)",4,IF(K188="Deficiencia de control (diseño o ejecución)",20,IF(K188="Oportunidad de mejora",40,60))))</f>
        <v>20</v>
      </c>
      <c r="M188" s="247">
        <v>1.1896</v>
      </c>
      <c r="N188" s="201">
        <f t="shared" ref="N188:N228" si="25">+L188+M188</f>
        <v>21.189599999999999</v>
      </c>
      <c r="O188" s="212"/>
    </row>
    <row r="189" spans="2:15" ht="13.85" x14ac:dyDescent="0.25">
      <c r="B189" s="251"/>
      <c r="C189" s="232"/>
      <c r="D189" s="220"/>
      <c r="E189" s="223"/>
      <c r="F189" s="223"/>
      <c r="G189" s="115">
        <v>2</v>
      </c>
      <c r="H189" s="138" t="s">
        <v>395</v>
      </c>
      <c r="I189" s="203"/>
      <c r="J189" s="203"/>
      <c r="K189" s="246"/>
      <c r="L189" s="247"/>
      <c r="M189" s="247"/>
      <c r="N189" s="201"/>
      <c r="O189" s="212"/>
    </row>
    <row r="190" spans="2:15" ht="13.85" x14ac:dyDescent="0.25">
      <c r="B190" s="251"/>
      <c r="C190" s="232"/>
      <c r="D190" s="220"/>
      <c r="E190" s="223"/>
      <c r="F190" s="223"/>
      <c r="G190" s="115">
        <v>3</v>
      </c>
      <c r="H190" s="138"/>
      <c r="I190" s="203"/>
      <c r="J190" s="203"/>
      <c r="K190" s="246"/>
      <c r="L190" s="247"/>
      <c r="M190" s="247"/>
      <c r="N190" s="201"/>
      <c r="O190" s="212"/>
    </row>
    <row r="191" spans="2:15" s="18" customFormat="1" ht="13.85" x14ac:dyDescent="0.25">
      <c r="B191" s="251"/>
      <c r="C191" s="232"/>
      <c r="D191" s="220"/>
      <c r="E191" s="223"/>
      <c r="F191" s="223"/>
      <c r="G191" s="115">
        <v>4</v>
      </c>
      <c r="H191" s="138"/>
      <c r="I191" s="203"/>
      <c r="J191" s="203"/>
      <c r="K191" s="246"/>
      <c r="L191" s="247"/>
      <c r="M191" s="247"/>
      <c r="N191" s="201"/>
      <c r="O191" s="212"/>
    </row>
    <row r="192" spans="2:15" s="18" customFormat="1" ht="13.85" x14ac:dyDescent="0.25">
      <c r="B192" s="251"/>
      <c r="C192" s="232"/>
      <c r="D192" s="220"/>
      <c r="E192" s="223"/>
      <c r="F192" s="223"/>
      <c r="G192" s="115">
        <v>5</v>
      </c>
      <c r="H192" s="138"/>
      <c r="I192" s="203"/>
      <c r="J192" s="203"/>
      <c r="K192" s="246"/>
      <c r="L192" s="247"/>
      <c r="M192" s="247"/>
      <c r="N192" s="201"/>
      <c r="O192" s="212"/>
    </row>
    <row r="193" spans="2:15" s="18" customFormat="1" ht="13.85" x14ac:dyDescent="0.25">
      <c r="B193" s="251"/>
      <c r="C193" s="232"/>
      <c r="D193" s="220"/>
      <c r="E193" s="223"/>
      <c r="F193" s="223"/>
      <c r="G193" s="115">
        <v>6</v>
      </c>
      <c r="H193" s="138"/>
      <c r="I193" s="203"/>
      <c r="J193" s="203"/>
      <c r="K193" s="246"/>
      <c r="L193" s="247"/>
      <c r="M193" s="247"/>
      <c r="N193" s="201"/>
      <c r="O193" s="212"/>
    </row>
    <row r="194" spans="2:15" s="18" customFormat="1" ht="13.85" x14ac:dyDescent="0.25">
      <c r="B194" s="251"/>
      <c r="C194" s="232"/>
      <c r="D194" s="220"/>
      <c r="E194" s="223"/>
      <c r="F194" s="223"/>
      <c r="G194" s="115">
        <v>7</v>
      </c>
      <c r="H194" s="138"/>
      <c r="I194" s="203"/>
      <c r="J194" s="203"/>
      <c r="K194" s="246"/>
      <c r="L194" s="247"/>
      <c r="M194" s="247"/>
      <c r="N194" s="201"/>
      <c r="O194" s="212"/>
    </row>
    <row r="195" spans="2:15" s="18" customFormat="1" ht="14.4" thickBot="1" x14ac:dyDescent="0.3">
      <c r="B195" s="252"/>
      <c r="C195" s="233"/>
      <c r="D195" s="221"/>
      <c r="E195" s="224"/>
      <c r="F195" s="224"/>
      <c r="G195" s="120">
        <v>8</v>
      </c>
      <c r="H195" s="139"/>
      <c r="I195" s="204"/>
      <c r="J195" s="204"/>
      <c r="K195" s="246"/>
      <c r="L195" s="247"/>
      <c r="M195" s="247"/>
      <c r="N195" s="201"/>
      <c r="O195" s="212"/>
    </row>
    <row r="196" spans="2:15" s="18" customFormat="1" ht="13.85" x14ac:dyDescent="0.25">
      <c r="B196" s="250" t="str">
        <f>+LEFT(C196,3)</f>
        <v>5.2</v>
      </c>
      <c r="C196" s="231" t="s">
        <v>162</v>
      </c>
      <c r="D196" s="219" t="s">
        <v>163</v>
      </c>
      <c r="E196" s="205" t="s">
        <v>397</v>
      </c>
      <c r="F196" s="202">
        <v>3</v>
      </c>
      <c r="G196" s="121">
        <v>1</v>
      </c>
      <c r="H196" s="150" t="s">
        <v>398</v>
      </c>
      <c r="I196" s="205" t="s">
        <v>400</v>
      </c>
      <c r="J196" s="202">
        <v>3</v>
      </c>
      <c r="K196" s="246" t="str">
        <f t="shared" si="23"/>
        <v>Mantenimiento del control</v>
      </c>
      <c r="L196" s="247">
        <f t="shared" si="24"/>
        <v>60</v>
      </c>
      <c r="M196" s="247">
        <v>1.28965</v>
      </c>
      <c r="N196" s="201">
        <f t="shared" si="25"/>
        <v>61.289650000000002</v>
      </c>
      <c r="O196" s="212"/>
    </row>
    <row r="197" spans="2:15" s="18" customFormat="1" ht="13.85" x14ac:dyDescent="0.25">
      <c r="B197" s="251"/>
      <c r="C197" s="232"/>
      <c r="D197" s="220"/>
      <c r="E197" s="206"/>
      <c r="F197" s="203"/>
      <c r="G197" s="115">
        <v>2</v>
      </c>
      <c r="H197" s="151" t="s">
        <v>399</v>
      </c>
      <c r="I197" s="206"/>
      <c r="J197" s="203"/>
      <c r="K197" s="246"/>
      <c r="L197" s="247"/>
      <c r="M197" s="247"/>
      <c r="N197" s="201"/>
      <c r="O197" s="212"/>
    </row>
    <row r="198" spans="2:15" s="18" customFormat="1" ht="13.85" x14ac:dyDescent="0.25">
      <c r="B198" s="251"/>
      <c r="C198" s="232"/>
      <c r="D198" s="220"/>
      <c r="E198" s="206"/>
      <c r="F198" s="203"/>
      <c r="G198" s="115">
        <v>3</v>
      </c>
      <c r="H198" s="138"/>
      <c r="I198" s="206"/>
      <c r="J198" s="203"/>
      <c r="K198" s="246"/>
      <c r="L198" s="247"/>
      <c r="M198" s="247"/>
      <c r="N198" s="201"/>
      <c r="O198" s="212"/>
    </row>
    <row r="199" spans="2:15" s="18" customFormat="1" ht="13.85" x14ac:dyDescent="0.25">
      <c r="B199" s="251"/>
      <c r="C199" s="232"/>
      <c r="D199" s="220"/>
      <c r="E199" s="206"/>
      <c r="F199" s="203"/>
      <c r="G199" s="115">
        <v>4</v>
      </c>
      <c r="H199" s="138"/>
      <c r="I199" s="206"/>
      <c r="J199" s="203"/>
      <c r="K199" s="246"/>
      <c r="L199" s="247"/>
      <c r="M199" s="247"/>
      <c r="N199" s="201"/>
      <c r="O199" s="212"/>
    </row>
    <row r="200" spans="2:15" s="18" customFormat="1" ht="13.85" x14ac:dyDescent="0.25">
      <c r="B200" s="251"/>
      <c r="C200" s="232"/>
      <c r="D200" s="220"/>
      <c r="E200" s="206"/>
      <c r="F200" s="203"/>
      <c r="G200" s="115">
        <v>5</v>
      </c>
      <c r="H200" s="138"/>
      <c r="I200" s="206"/>
      <c r="J200" s="203"/>
      <c r="K200" s="246"/>
      <c r="L200" s="247"/>
      <c r="M200" s="247"/>
      <c r="N200" s="201"/>
      <c r="O200" s="212"/>
    </row>
    <row r="201" spans="2:15" s="18" customFormat="1" ht="13.85" x14ac:dyDescent="0.25">
      <c r="B201" s="251"/>
      <c r="C201" s="232"/>
      <c r="D201" s="220"/>
      <c r="E201" s="206"/>
      <c r="F201" s="203"/>
      <c r="G201" s="115">
        <v>6</v>
      </c>
      <c r="H201" s="138"/>
      <c r="I201" s="206"/>
      <c r="J201" s="203"/>
      <c r="K201" s="246"/>
      <c r="L201" s="247"/>
      <c r="M201" s="247"/>
      <c r="N201" s="201"/>
      <c r="O201" s="212"/>
    </row>
    <row r="202" spans="2:15" s="18" customFormat="1" ht="13.85" x14ac:dyDescent="0.25">
      <c r="B202" s="251"/>
      <c r="C202" s="232"/>
      <c r="D202" s="220"/>
      <c r="E202" s="206"/>
      <c r="F202" s="203"/>
      <c r="G202" s="115">
        <v>7</v>
      </c>
      <c r="H202" s="138"/>
      <c r="I202" s="206"/>
      <c r="J202" s="203"/>
      <c r="K202" s="246"/>
      <c r="L202" s="247"/>
      <c r="M202" s="247"/>
      <c r="N202" s="201"/>
      <c r="O202" s="212"/>
    </row>
    <row r="203" spans="2:15" s="18" customFormat="1" ht="14.4" thickBot="1" x14ac:dyDescent="0.3">
      <c r="B203" s="252"/>
      <c r="C203" s="233"/>
      <c r="D203" s="221"/>
      <c r="E203" s="207"/>
      <c r="F203" s="204"/>
      <c r="G203" s="120">
        <v>8</v>
      </c>
      <c r="H203" s="139"/>
      <c r="I203" s="207"/>
      <c r="J203" s="204"/>
      <c r="K203" s="246"/>
      <c r="L203" s="247"/>
      <c r="M203" s="247"/>
      <c r="N203" s="201"/>
      <c r="O203" s="212"/>
    </row>
    <row r="204" spans="2:15" s="18" customFormat="1" ht="13.85" x14ac:dyDescent="0.25">
      <c r="B204" s="250" t="str">
        <f>+LEFT(C204,3)</f>
        <v>5.3</v>
      </c>
      <c r="C204" s="231" t="s">
        <v>164</v>
      </c>
      <c r="D204" s="219" t="s">
        <v>165</v>
      </c>
      <c r="E204" s="205" t="s">
        <v>401</v>
      </c>
      <c r="F204" s="202">
        <v>3</v>
      </c>
      <c r="G204" s="121">
        <v>1</v>
      </c>
      <c r="H204" s="137"/>
      <c r="I204" s="205" t="s">
        <v>403</v>
      </c>
      <c r="J204" s="202">
        <v>3</v>
      </c>
      <c r="K204" s="246" t="str">
        <f t="shared" si="23"/>
        <v>Mantenimiento del control</v>
      </c>
      <c r="L204" s="247">
        <f t="shared" si="24"/>
        <v>60</v>
      </c>
      <c r="M204" s="247">
        <v>1.3896299999999999</v>
      </c>
      <c r="N204" s="201">
        <f t="shared" si="25"/>
        <v>61.389629999999997</v>
      </c>
      <c r="O204" s="212"/>
    </row>
    <row r="205" spans="2:15" s="18" customFormat="1" ht="13.85" x14ac:dyDescent="0.25">
      <c r="B205" s="251"/>
      <c r="C205" s="232"/>
      <c r="D205" s="220"/>
      <c r="E205" s="206"/>
      <c r="F205" s="203"/>
      <c r="G205" s="115">
        <v>2</v>
      </c>
      <c r="H205" s="138" t="s">
        <v>398</v>
      </c>
      <c r="I205" s="206"/>
      <c r="J205" s="203"/>
      <c r="K205" s="246"/>
      <c r="L205" s="247"/>
      <c r="M205" s="247"/>
      <c r="N205" s="201"/>
      <c r="O205" s="212"/>
    </row>
    <row r="206" spans="2:15" s="18" customFormat="1" ht="13.85" x14ac:dyDescent="0.25">
      <c r="B206" s="251"/>
      <c r="C206" s="232"/>
      <c r="D206" s="220"/>
      <c r="E206" s="206"/>
      <c r="F206" s="203"/>
      <c r="G206" s="115">
        <v>3</v>
      </c>
      <c r="H206" s="138" t="s">
        <v>402</v>
      </c>
      <c r="I206" s="206"/>
      <c r="J206" s="203"/>
      <c r="K206" s="246"/>
      <c r="L206" s="247"/>
      <c r="M206" s="247"/>
      <c r="N206" s="201"/>
      <c r="O206" s="212"/>
    </row>
    <row r="207" spans="2:15" s="18" customFormat="1" ht="13.85" x14ac:dyDescent="0.25">
      <c r="B207" s="251"/>
      <c r="C207" s="232"/>
      <c r="D207" s="220"/>
      <c r="E207" s="206"/>
      <c r="F207" s="203"/>
      <c r="G207" s="115">
        <v>4</v>
      </c>
      <c r="H207" s="138"/>
      <c r="I207" s="206"/>
      <c r="J207" s="203"/>
      <c r="K207" s="246"/>
      <c r="L207" s="247"/>
      <c r="M207" s="247"/>
      <c r="N207" s="201"/>
      <c r="O207" s="212"/>
    </row>
    <row r="208" spans="2:15" s="18" customFormat="1" ht="13.85" x14ac:dyDescent="0.25">
      <c r="B208" s="251"/>
      <c r="C208" s="232"/>
      <c r="D208" s="220"/>
      <c r="E208" s="206"/>
      <c r="F208" s="203"/>
      <c r="G208" s="115">
        <v>5</v>
      </c>
      <c r="H208" s="138"/>
      <c r="I208" s="206"/>
      <c r="J208" s="203"/>
      <c r="K208" s="246"/>
      <c r="L208" s="247"/>
      <c r="M208" s="247"/>
      <c r="N208" s="201"/>
      <c r="O208" s="212"/>
    </row>
    <row r="209" spans="2:15" s="18" customFormat="1" ht="13.85" x14ac:dyDescent="0.25">
      <c r="B209" s="251"/>
      <c r="C209" s="232"/>
      <c r="D209" s="220"/>
      <c r="E209" s="206"/>
      <c r="F209" s="203"/>
      <c r="G209" s="115">
        <v>6</v>
      </c>
      <c r="H209" s="138"/>
      <c r="I209" s="206"/>
      <c r="J209" s="203"/>
      <c r="K209" s="246"/>
      <c r="L209" s="247"/>
      <c r="M209" s="247"/>
      <c r="N209" s="201"/>
      <c r="O209" s="212"/>
    </row>
    <row r="210" spans="2:15" s="18" customFormat="1" ht="13.85" x14ac:dyDescent="0.25">
      <c r="B210" s="251"/>
      <c r="C210" s="232"/>
      <c r="D210" s="220"/>
      <c r="E210" s="206"/>
      <c r="F210" s="203"/>
      <c r="G210" s="115">
        <v>7</v>
      </c>
      <c r="H210" s="138"/>
      <c r="I210" s="206"/>
      <c r="J210" s="203"/>
      <c r="K210" s="246"/>
      <c r="L210" s="247"/>
      <c r="M210" s="247"/>
      <c r="N210" s="201"/>
      <c r="O210" s="212"/>
    </row>
    <row r="211" spans="2:15" s="18" customFormat="1" ht="14.4" thickBot="1" x14ac:dyDescent="0.3">
      <c r="B211" s="252"/>
      <c r="C211" s="233"/>
      <c r="D211" s="221"/>
      <c r="E211" s="207"/>
      <c r="F211" s="204"/>
      <c r="G211" s="120">
        <v>8</v>
      </c>
      <c r="H211" s="139"/>
      <c r="I211" s="207"/>
      <c r="J211" s="204"/>
      <c r="K211" s="246"/>
      <c r="L211" s="247"/>
      <c r="M211" s="247"/>
      <c r="N211" s="201"/>
      <c r="O211" s="212"/>
    </row>
    <row r="212" spans="2:15" ht="20.3" customHeight="1" x14ac:dyDescent="0.25">
      <c r="B212" s="250" t="str">
        <f>+LEFT(C212,3)</f>
        <v>5.4</v>
      </c>
      <c r="C212" s="231" t="s">
        <v>166</v>
      </c>
      <c r="D212" s="219" t="s">
        <v>167</v>
      </c>
      <c r="E212" s="288" t="s">
        <v>386</v>
      </c>
      <c r="F212" s="222">
        <v>1</v>
      </c>
      <c r="G212" s="121">
        <v>1</v>
      </c>
      <c r="H212" s="137"/>
      <c r="I212" s="205" t="s">
        <v>386</v>
      </c>
      <c r="J212" s="202">
        <v>1</v>
      </c>
      <c r="K212" s="246" t="str">
        <f t="shared" si="23"/>
        <v>Deficiencia de control mayor (diseño y ejecución)</v>
      </c>
      <c r="L212" s="247">
        <f t="shared" si="24"/>
        <v>4</v>
      </c>
      <c r="M212" s="247">
        <v>1.48963</v>
      </c>
      <c r="N212" s="201">
        <f t="shared" si="25"/>
        <v>5.48963</v>
      </c>
      <c r="O212" s="212"/>
    </row>
    <row r="213" spans="2:15" ht="20.3" customHeight="1" x14ac:dyDescent="0.25">
      <c r="B213" s="251"/>
      <c r="C213" s="232"/>
      <c r="D213" s="220"/>
      <c r="E213" s="289"/>
      <c r="F213" s="223"/>
      <c r="G213" s="115">
        <v>2</v>
      </c>
      <c r="H213" s="138"/>
      <c r="I213" s="206"/>
      <c r="J213" s="203"/>
      <c r="K213" s="246"/>
      <c r="L213" s="247"/>
      <c r="M213" s="247"/>
      <c r="N213" s="201"/>
      <c r="O213" s="212"/>
    </row>
    <row r="214" spans="2:15" ht="20.3" customHeight="1" x14ac:dyDescent="0.25">
      <c r="B214" s="251"/>
      <c r="C214" s="232"/>
      <c r="D214" s="220"/>
      <c r="E214" s="289"/>
      <c r="F214" s="223"/>
      <c r="G214" s="115">
        <v>3</v>
      </c>
      <c r="H214" s="138"/>
      <c r="I214" s="206"/>
      <c r="J214" s="203"/>
      <c r="K214" s="246"/>
      <c r="L214" s="247"/>
      <c r="M214" s="247"/>
      <c r="N214" s="201"/>
      <c r="O214" s="212"/>
    </row>
    <row r="215" spans="2:15" s="18" customFormat="1" ht="20.3" customHeight="1" x14ac:dyDescent="0.25">
      <c r="B215" s="251"/>
      <c r="C215" s="232"/>
      <c r="D215" s="220"/>
      <c r="E215" s="289"/>
      <c r="F215" s="223"/>
      <c r="G215" s="115">
        <v>4</v>
      </c>
      <c r="H215" s="138"/>
      <c r="I215" s="206"/>
      <c r="J215" s="203"/>
      <c r="K215" s="246"/>
      <c r="L215" s="247"/>
      <c r="M215" s="247"/>
      <c r="N215" s="201"/>
      <c r="O215" s="212"/>
    </row>
    <row r="216" spans="2:15" s="18" customFormat="1" ht="20.3" customHeight="1" x14ac:dyDescent="0.25">
      <c r="B216" s="251"/>
      <c r="C216" s="232"/>
      <c r="D216" s="220"/>
      <c r="E216" s="289"/>
      <c r="F216" s="223"/>
      <c r="G216" s="115">
        <v>5</v>
      </c>
      <c r="H216" s="138"/>
      <c r="I216" s="206"/>
      <c r="J216" s="203"/>
      <c r="K216" s="246"/>
      <c r="L216" s="247"/>
      <c r="M216" s="247"/>
      <c r="N216" s="201"/>
      <c r="O216" s="212"/>
    </row>
    <row r="217" spans="2:15" s="18" customFormat="1" ht="20.3" customHeight="1" x14ac:dyDescent="0.25">
      <c r="B217" s="251"/>
      <c r="C217" s="232"/>
      <c r="D217" s="220"/>
      <c r="E217" s="289"/>
      <c r="F217" s="223"/>
      <c r="G217" s="115">
        <v>6</v>
      </c>
      <c r="H217" s="138"/>
      <c r="I217" s="206"/>
      <c r="J217" s="203"/>
      <c r="K217" s="246"/>
      <c r="L217" s="247"/>
      <c r="M217" s="247"/>
      <c r="N217" s="201"/>
      <c r="O217" s="212"/>
    </row>
    <row r="218" spans="2:15" s="18" customFormat="1" ht="37.450000000000003" customHeight="1" x14ac:dyDescent="0.25">
      <c r="B218" s="251"/>
      <c r="C218" s="232"/>
      <c r="D218" s="220"/>
      <c r="E218" s="289"/>
      <c r="F218" s="223"/>
      <c r="G218" s="115">
        <v>7</v>
      </c>
      <c r="H218" s="138"/>
      <c r="I218" s="206"/>
      <c r="J218" s="203"/>
      <c r="K218" s="246"/>
      <c r="L218" s="247"/>
      <c r="M218" s="247"/>
      <c r="N218" s="201"/>
      <c r="O218" s="212"/>
    </row>
    <row r="219" spans="2:15" s="18" customFormat="1" ht="23.2" customHeight="1" thickBot="1" x14ac:dyDescent="0.3">
      <c r="B219" s="252"/>
      <c r="C219" s="233"/>
      <c r="D219" s="221"/>
      <c r="E219" s="290"/>
      <c r="F219" s="224"/>
      <c r="G219" s="120">
        <v>8</v>
      </c>
      <c r="H219" s="139"/>
      <c r="I219" s="207"/>
      <c r="J219" s="204"/>
      <c r="K219" s="246"/>
      <c r="L219" s="247"/>
      <c r="M219" s="247"/>
      <c r="N219" s="201"/>
      <c r="O219" s="212"/>
    </row>
    <row r="220" spans="2:15" s="18" customFormat="1" ht="20.3" customHeight="1" x14ac:dyDescent="0.25">
      <c r="B220" s="250" t="str">
        <f>+LEFT(C220,3)</f>
        <v>5.5</v>
      </c>
      <c r="C220" s="231" t="s">
        <v>168</v>
      </c>
      <c r="D220" s="219" t="s">
        <v>169</v>
      </c>
      <c r="E220" s="205" t="s">
        <v>408</v>
      </c>
      <c r="F220" s="202">
        <v>2</v>
      </c>
      <c r="G220" s="121">
        <v>1</v>
      </c>
      <c r="H220" s="150" t="s">
        <v>409</v>
      </c>
      <c r="I220" s="205" t="s">
        <v>410</v>
      </c>
      <c r="J220" s="202">
        <v>2</v>
      </c>
      <c r="K220" s="246" t="str">
        <f t="shared" si="23"/>
        <v>Deficiencia de control (diseño o ejecución)</v>
      </c>
      <c r="L220" s="247">
        <f t="shared" si="24"/>
        <v>20</v>
      </c>
      <c r="M220" s="247">
        <v>1.58965</v>
      </c>
      <c r="N220" s="201">
        <f t="shared" si="25"/>
        <v>21.589649999999999</v>
      </c>
      <c r="O220" s="212"/>
    </row>
    <row r="221" spans="2:15" s="18" customFormat="1" ht="20.3" customHeight="1" x14ac:dyDescent="0.25">
      <c r="B221" s="251"/>
      <c r="C221" s="232"/>
      <c r="D221" s="220"/>
      <c r="E221" s="206"/>
      <c r="F221" s="203"/>
      <c r="G221" s="115">
        <v>2</v>
      </c>
      <c r="H221" s="138" t="s">
        <v>398</v>
      </c>
      <c r="I221" s="206"/>
      <c r="J221" s="203"/>
      <c r="K221" s="246"/>
      <c r="L221" s="247"/>
      <c r="M221" s="247"/>
      <c r="N221" s="201"/>
      <c r="O221" s="212"/>
    </row>
    <row r="222" spans="2:15" s="18" customFormat="1" ht="20.3" customHeight="1" x14ac:dyDescent="0.25">
      <c r="B222" s="251"/>
      <c r="C222" s="232"/>
      <c r="D222" s="220"/>
      <c r="E222" s="206"/>
      <c r="F222" s="203"/>
      <c r="G222" s="115">
        <v>3</v>
      </c>
      <c r="H222" s="138"/>
      <c r="I222" s="206"/>
      <c r="J222" s="203"/>
      <c r="K222" s="246"/>
      <c r="L222" s="247"/>
      <c r="M222" s="247"/>
      <c r="N222" s="201"/>
      <c r="O222" s="212"/>
    </row>
    <row r="223" spans="2:15" s="18" customFormat="1" ht="20.3" customHeight="1" x14ac:dyDescent="0.25">
      <c r="B223" s="251"/>
      <c r="C223" s="232"/>
      <c r="D223" s="220"/>
      <c r="E223" s="206"/>
      <c r="F223" s="203"/>
      <c r="G223" s="115">
        <v>4</v>
      </c>
      <c r="H223" s="138"/>
      <c r="I223" s="206"/>
      <c r="J223" s="203"/>
      <c r="K223" s="246"/>
      <c r="L223" s="247"/>
      <c r="M223" s="247"/>
      <c r="N223" s="201"/>
      <c r="O223" s="212"/>
    </row>
    <row r="224" spans="2:15" s="18" customFormat="1" ht="20.3" customHeight="1" x14ac:dyDescent="0.25">
      <c r="B224" s="251"/>
      <c r="C224" s="232"/>
      <c r="D224" s="220"/>
      <c r="E224" s="206"/>
      <c r="F224" s="203"/>
      <c r="G224" s="115">
        <v>5</v>
      </c>
      <c r="H224" s="138"/>
      <c r="I224" s="206"/>
      <c r="J224" s="203"/>
      <c r="K224" s="246"/>
      <c r="L224" s="247"/>
      <c r="M224" s="247"/>
      <c r="N224" s="201"/>
      <c r="O224" s="212"/>
    </row>
    <row r="225" spans="1:15" s="18" customFormat="1" ht="20.3" customHeight="1" x14ac:dyDescent="0.25">
      <c r="B225" s="251"/>
      <c r="C225" s="232"/>
      <c r="D225" s="220"/>
      <c r="E225" s="206"/>
      <c r="F225" s="203"/>
      <c r="G225" s="115">
        <v>6</v>
      </c>
      <c r="H225" s="138"/>
      <c r="I225" s="206"/>
      <c r="J225" s="203"/>
      <c r="K225" s="246"/>
      <c r="L225" s="247"/>
      <c r="M225" s="247"/>
      <c r="N225" s="201"/>
      <c r="O225" s="212"/>
    </row>
    <row r="226" spans="1:15" s="18" customFormat="1" ht="20.3" customHeight="1" x14ac:dyDescent="0.25">
      <c r="B226" s="251"/>
      <c r="C226" s="232"/>
      <c r="D226" s="220"/>
      <c r="E226" s="206"/>
      <c r="F226" s="203"/>
      <c r="G226" s="115">
        <v>7</v>
      </c>
      <c r="H226" s="138"/>
      <c r="I226" s="206"/>
      <c r="J226" s="203"/>
      <c r="K226" s="246"/>
      <c r="L226" s="247"/>
      <c r="M226" s="247"/>
      <c r="N226" s="201"/>
      <c r="O226" s="212"/>
    </row>
    <row r="227" spans="1:15" s="18" customFormat="1" ht="20.3" customHeight="1" thickBot="1" x14ac:dyDescent="0.3">
      <c r="B227" s="252"/>
      <c r="C227" s="233"/>
      <c r="D227" s="221"/>
      <c r="E227" s="207"/>
      <c r="F227" s="204"/>
      <c r="G227" s="120">
        <v>8</v>
      </c>
      <c r="H227" s="139"/>
      <c r="I227" s="207"/>
      <c r="J227" s="204"/>
      <c r="K227" s="246"/>
      <c r="L227" s="247"/>
      <c r="M227" s="247"/>
      <c r="N227" s="201"/>
      <c r="O227" s="212"/>
    </row>
    <row r="228" spans="1:15" ht="32.25" customHeight="1" x14ac:dyDescent="0.25">
      <c r="B228" s="250" t="str">
        <f>+LEFT(C228,3)</f>
        <v>5.6</v>
      </c>
      <c r="C228" s="231" t="s">
        <v>170</v>
      </c>
      <c r="D228" s="219" t="s">
        <v>169</v>
      </c>
      <c r="E228" s="288" t="s">
        <v>404</v>
      </c>
      <c r="F228" s="222">
        <v>2</v>
      </c>
      <c r="G228" s="121">
        <v>1</v>
      </c>
      <c r="H228" s="137" t="s">
        <v>406</v>
      </c>
      <c r="I228" s="205" t="s">
        <v>407</v>
      </c>
      <c r="J228" s="205">
        <v>2</v>
      </c>
      <c r="K228" s="246" t="str">
        <f t="shared" si="23"/>
        <v>Deficiencia de control (diseño o ejecución)</v>
      </c>
      <c r="L228" s="247">
        <f t="shared" si="24"/>
        <v>20</v>
      </c>
      <c r="M228" s="247">
        <v>1.6896530000000001</v>
      </c>
      <c r="N228" s="201">
        <f t="shared" si="25"/>
        <v>21.689653</v>
      </c>
      <c r="O228" s="212"/>
    </row>
    <row r="229" spans="1:15" ht="20.2" customHeight="1" x14ac:dyDescent="0.25">
      <c r="B229" s="251"/>
      <c r="C229" s="232"/>
      <c r="D229" s="220"/>
      <c r="E229" s="289"/>
      <c r="F229" s="223"/>
      <c r="G229" s="115">
        <v>2</v>
      </c>
      <c r="H229" s="138"/>
      <c r="I229" s="206"/>
      <c r="J229" s="206"/>
      <c r="K229" s="246"/>
      <c r="L229" s="247"/>
      <c r="M229" s="247"/>
      <c r="N229" s="201"/>
      <c r="O229" s="212"/>
    </row>
    <row r="230" spans="1:15" s="18" customFormat="1" ht="20.2" customHeight="1" x14ac:dyDescent="0.25">
      <c r="B230" s="251"/>
      <c r="C230" s="232"/>
      <c r="D230" s="220"/>
      <c r="E230" s="289"/>
      <c r="F230" s="223"/>
      <c r="G230" s="115">
        <v>3</v>
      </c>
      <c r="H230" s="138"/>
      <c r="I230" s="206"/>
      <c r="J230" s="206"/>
      <c r="K230" s="246"/>
      <c r="L230" s="247"/>
      <c r="M230" s="247"/>
      <c r="N230" s="201"/>
      <c r="O230" s="212"/>
    </row>
    <row r="231" spans="1:15" s="18" customFormat="1" ht="20.2" customHeight="1" x14ac:dyDescent="0.25">
      <c r="B231" s="251"/>
      <c r="C231" s="232"/>
      <c r="D231" s="220"/>
      <c r="E231" s="289"/>
      <c r="F231" s="223"/>
      <c r="G231" s="115">
        <v>4</v>
      </c>
      <c r="H231" s="138"/>
      <c r="I231" s="206"/>
      <c r="J231" s="206"/>
      <c r="K231" s="246"/>
      <c r="L231" s="247"/>
      <c r="M231" s="247"/>
      <c r="N231" s="201"/>
      <c r="O231" s="212"/>
    </row>
    <row r="232" spans="1:15" s="18" customFormat="1" ht="20.2" customHeight="1" x14ac:dyDescent="0.25">
      <c r="B232" s="251"/>
      <c r="C232" s="232"/>
      <c r="D232" s="220"/>
      <c r="E232" s="289"/>
      <c r="F232" s="223"/>
      <c r="G232" s="115">
        <v>5</v>
      </c>
      <c r="H232" s="138"/>
      <c r="I232" s="206"/>
      <c r="J232" s="206"/>
      <c r="K232" s="246"/>
      <c r="L232" s="247"/>
      <c r="M232" s="247"/>
      <c r="N232" s="201"/>
      <c r="O232" s="212"/>
    </row>
    <row r="233" spans="1:15" s="18" customFormat="1" ht="20.2" customHeight="1" x14ac:dyDescent="0.25">
      <c r="B233" s="251"/>
      <c r="C233" s="232"/>
      <c r="D233" s="220"/>
      <c r="E233" s="289"/>
      <c r="F233" s="223"/>
      <c r="G233" s="115">
        <v>6</v>
      </c>
      <c r="H233" s="138"/>
      <c r="I233" s="206"/>
      <c r="J233" s="206"/>
      <c r="K233" s="246"/>
      <c r="L233" s="247"/>
      <c r="M233" s="247"/>
      <c r="N233" s="201"/>
      <c r="O233" s="212"/>
    </row>
    <row r="234" spans="1:15" s="18" customFormat="1" ht="20.2" customHeight="1" x14ac:dyDescent="0.25">
      <c r="B234" s="251"/>
      <c r="C234" s="232"/>
      <c r="D234" s="220"/>
      <c r="E234" s="289"/>
      <c r="F234" s="223"/>
      <c r="G234" s="115">
        <v>7</v>
      </c>
      <c r="H234" s="138"/>
      <c r="I234" s="206"/>
      <c r="J234" s="206"/>
      <c r="K234" s="246"/>
      <c r="L234" s="247"/>
      <c r="M234" s="247"/>
      <c r="N234" s="201"/>
      <c r="O234" s="212"/>
    </row>
    <row r="235" spans="1:15" s="18" customFormat="1" ht="20.2" customHeight="1" thickBot="1" x14ac:dyDescent="0.3">
      <c r="B235" s="252"/>
      <c r="C235" s="233"/>
      <c r="D235" s="221"/>
      <c r="E235" s="290"/>
      <c r="F235" s="224"/>
      <c r="G235" s="120">
        <v>8</v>
      </c>
      <c r="H235" s="139"/>
      <c r="I235" s="207"/>
      <c r="J235" s="207"/>
      <c r="K235" s="246"/>
      <c r="L235" s="247"/>
      <c r="M235" s="247"/>
      <c r="N235" s="201"/>
      <c r="O235" s="212"/>
    </row>
    <row r="236" spans="1:15" ht="22.5" customHeight="1" x14ac:dyDescent="0.25">
      <c r="A236" s="18"/>
    </row>
    <row r="237" spans="1:15" ht="11.95" customHeight="1" x14ac:dyDescent="0.25">
      <c r="A237" s="18"/>
      <c r="B237" s="112"/>
      <c r="C237" s="18"/>
      <c r="D237" s="18"/>
      <c r="E237" s="18"/>
      <c r="F237" s="18"/>
      <c r="G237" s="18"/>
      <c r="H237" s="18"/>
      <c r="I237" s="18"/>
    </row>
    <row r="238" spans="1:15" ht="22.5" customHeight="1" x14ac:dyDescent="0.25"/>
    <row r="239" spans="1:15" ht="22.5" customHeight="1" x14ac:dyDescent="0.25"/>
    <row r="240" spans="1:15" ht="22.5" customHeight="1" x14ac:dyDescent="0.25"/>
    <row r="241" ht="22.5" customHeight="1" x14ac:dyDescent="0.25"/>
    <row r="242" ht="22.5" customHeight="1" x14ac:dyDescent="0.25"/>
    <row r="243" ht="22.5" customHeight="1" x14ac:dyDescent="0.25"/>
    <row r="244" ht="22.5" customHeight="1" x14ac:dyDescent="0.25"/>
    <row r="245" ht="22.5" customHeight="1" x14ac:dyDescent="0.25"/>
    <row r="246" ht="22.5" customHeight="1" x14ac:dyDescent="0.25"/>
    <row r="247" ht="22.5" customHeight="1" x14ac:dyDescent="0.25"/>
    <row r="248" ht="22.5" customHeight="1" x14ac:dyDescent="0.25"/>
    <row r="249" ht="22.5" customHeight="1" x14ac:dyDescent="0.25"/>
    <row r="250" ht="22.5" customHeight="1" x14ac:dyDescent="0.25"/>
    <row r="251" ht="22.5" customHeight="1" x14ac:dyDescent="0.25"/>
    <row r="252" ht="22.5" customHeight="1" x14ac:dyDescent="0.25"/>
    <row r="253" ht="22.5" customHeight="1" x14ac:dyDescent="0.25"/>
    <row r="254" ht="22.5" customHeight="1" x14ac:dyDescent="0.25"/>
    <row r="255" ht="22.5" customHeight="1" x14ac:dyDescent="0.25"/>
    <row r="256" ht="22.5" customHeight="1" x14ac:dyDescent="0.25"/>
    <row r="257" ht="22.5" customHeight="1" x14ac:dyDescent="0.25"/>
    <row r="258" ht="22.5" customHeight="1" x14ac:dyDescent="0.25"/>
    <row r="259" ht="22.5" customHeight="1" x14ac:dyDescent="0.25"/>
    <row r="260" ht="22.5" customHeight="1" x14ac:dyDescent="0.25"/>
    <row r="261" ht="22.5" customHeight="1" x14ac:dyDescent="0.25"/>
    <row r="262" ht="22.5" customHeight="1" x14ac:dyDescent="0.25"/>
    <row r="263" ht="22.5" customHeight="1" x14ac:dyDescent="0.25"/>
    <row r="264" ht="22.5" customHeight="1" x14ac:dyDescent="0.25"/>
    <row r="265" ht="22.5" customHeight="1" x14ac:dyDescent="0.25"/>
    <row r="266" ht="22.5" customHeight="1" x14ac:dyDescent="0.25"/>
    <row r="267" ht="22.5" customHeight="1" x14ac:dyDescent="0.25"/>
    <row r="268" ht="2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5" ht="22.5" customHeight="1" x14ac:dyDescent="0.25"/>
    <row r="276" ht="22.5" customHeight="1" x14ac:dyDescent="0.25"/>
    <row r="277" ht="22.5" customHeight="1" x14ac:dyDescent="0.25"/>
    <row r="278" ht="22.5" customHeight="1" x14ac:dyDescent="0.25"/>
    <row r="279" ht="22.5" customHeight="1" x14ac:dyDescent="0.25"/>
    <row r="280" ht="22.5" customHeight="1" x14ac:dyDescent="0.25"/>
    <row r="281" ht="22.5" customHeight="1" x14ac:dyDescent="0.25"/>
    <row r="282" ht="22.5" customHeight="1" x14ac:dyDescent="0.25"/>
    <row r="283" ht="22.5" customHeight="1" x14ac:dyDescent="0.25"/>
    <row r="284" ht="22.5" customHeight="1" x14ac:dyDescent="0.25"/>
    <row r="285" ht="22.5" customHeight="1" x14ac:dyDescent="0.25"/>
    <row r="286" ht="22.5" customHeight="1" x14ac:dyDescent="0.25"/>
    <row r="287" ht="22.5" customHeight="1" x14ac:dyDescent="0.25"/>
    <row r="288" ht="22.5" customHeight="1" x14ac:dyDescent="0.25"/>
    <row r="289" ht="22.5" customHeight="1" x14ac:dyDescent="0.25"/>
    <row r="290" ht="22.5" customHeight="1" x14ac:dyDescent="0.25"/>
    <row r="291" ht="22.5" customHeight="1" x14ac:dyDescent="0.25"/>
    <row r="292" ht="22.5" customHeight="1" x14ac:dyDescent="0.25"/>
    <row r="293" ht="22.5" customHeight="1" x14ac:dyDescent="0.25"/>
    <row r="294" ht="22.5" customHeight="1" x14ac:dyDescent="0.25"/>
    <row r="295" ht="22.5" customHeight="1" x14ac:dyDescent="0.25"/>
    <row r="296" ht="22.5" customHeight="1" x14ac:dyDescent="0.25"/>
    <row r="297" ht="22.5" customHeight="1" x14ac:dyDescent="0.25"/>
    <row r="298" ht="22.5" customHeight="1" x14ac:dyDescent="0.25"/>
    <row r="299" ht="22.5" customHeight="1" x14ac:dyDescent="0.25"/>
    <row r="300" ht="22.5" customHeight="1" x14ac:dyDescent="0.25"/>
    <row r="301" ht="22.5" customHeight="1" x14ac:dyDescent="0.25"/>
    <row r="302" ht="22.5" customHeight="1" x14ac:dyDescent="0.25"/>
    <row r="303" ht="22.5" customHeight="1" x14ac:dyDescent="0.25"/>
    <row r="304" ht="22.5" customHeight="1" x14ac:dyDescent="0.25"/>
    <row r="305" ht="2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2" ht="22.5" customHeight="1" x14ac:dyDescent="0.25"/>
    <row r="313" ht="22.5" customHeight="1" x14ac:dyDescent="0.25"/>
    <row r="314" ht="22.5" customHeight="1" x14ac:dyDescent="0.25"/>
    <row r="315" ht="22.5" customHeight="1" x14ac:dyDescent="0.25"/>
    <row r="316" ht="22.5" customHeight="1" x14ac:dyDescent="0.25"/>
    <row r="317" ht="22.5" customHeight="1" x14ac:dyDescent="0.25"/>
    <row r="318" ht="22.5" customHeight="1" x14ac:dyDescent="0.25"/>
    <row r="319" ht="22.5" customHeight="1" x14ac:dyDescent="0.25"/>
    <row r="320" ht="22.5" customHeight="1" x14ac:dyDescent="0.25"/>
    <row r="321" ht="22.5" customHeight="1" x14ac:dyDescent="0.25"/>
    <row r="322" ht="22.5" customHeight="1" x14ac:dyDescent="0.25"/>
    <row r="323" ht="22.5" customHeight="1" x14ac:dyDescent="0.25"/>
    <row r="324" ht="22.5" customHeight="1" x14ac:dyDescent="0.25"/>
    <row r="325" ht="22.5" customHeight="1" x14ac:dyDescent="0.25"/>
    <row r="326" ht="22.5" customHeight="1" x14ac:dyDescent="0.25"/>
    <row r="327" ht="22.5" customHeight="1" x14ac:dyDescent="0.25"/>
    <row r="328" ht="22.5" customHeight="1" x14ac:dyDescent="0.25"/>
    <row r="329" ht="22.5" customHeight="1" x14ac:dyDescent="0.25"/>
    <row r="330" ht="22.5" customHeight="1" x14ac:dyDescent="0.25"/>
    <row r="331" ht="22.5" customHeight="1" x14ac:dyDescent="0.25"/>
    <row r="332" ht="22.5" customHeight="1" x14ac:dyDescent="0.25"/>
    <row r="333" ht="22.5" customHeight="1" x14ac:dyDescent="0.25"/>
    <row r="334" ht="22.5" customHeight="1" x14ac:dyDescent="0.25"/>
    <row r="335" ht="22.5" customHeight="1" x14ac:dyDescent="0.25"/>
    <row r="336" ht="22.5" customHeight="1" x14ac:dyDescent="0.25"/>
    <row r="337" ht="22.5" customHeight="1" x14ac:dyDescent="0.25"/>
    <row r="338" ht="22.5" customHeight="1" x14ac:dyDescent="0.25"/>
    <row r="339" ht="22.5" customHeight="1" x14ac:dyDescent="0.25"/>
    <row r="340" ht="22.5" customHeight="1" x14ac:dyDescent="0.25"/>
    <row r="341" ht="22.5" customHeight="1" x14ac:dyDescent="0.25"/>
    <row r="342" ht="2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49" ht="22.5" customHeight="1" x14ac:dyDescent="0.25"/>
    <row r="350" ht="22.5" customHeight="1" x14ac:dyDescent="0.25"/>
    <row r="351" ht="22.5" customHeight="1" x14ac:dyDescent="0.25"/>
    <row r="352" ht="22.5" customHeight="1" x14ac:dyDescent="0.25"/>
  </sheetData>
  <sheetProtection algorithmName="SHA-512" hashValue="aDshBhmzNXhsQTxLIdYt+6x1+NqZa+BUKY47hnusL+GyubKLvR+w0c8hfPcIg3stthY/IV94RBT4lK7HLmOEcQ==" saltValue="2r/55Sek4cW80H/oY29DHw==" spinCount="100000" sheet="1" objects="1" scenarios="1" formatCells="0" formatColumns="0" formatRows="0"/>
  <mergeCells count="381">
    <mergeCell ref="I204:I211"/>
    <mergeCell ref="I212:I219"/>
    <mergeCell ref="I220:I227"/>
    <mergeCell ref="I228:I235"/>
    <mergeCell ref="I161:I168"/>
    <mergeCell ref="I56:I63"/>
    <mergeCell ref="I118:I125"/>
    <mergeCell ref="I129:I136"/>
    <mergeCell ref="I137:I144"/>
    <mergeCell ref="I145:I152"/>
    <mergeCell ref="I153:I160"/>
    <mergeCell ref="I177:I184"/>
    <mergeCell ref="I188:I195"/>
    <mergeCell ref="I196:I203"/>
    <mergeCell ref="O169:O176"/>
    <mergeCell ref="A24:A31"/>
    <mergeCell ref="D32:D39"/>
    <mergeCell ref="J32:J39"/>
    <mergeCell ref="K32:K39"/>
    <mergeCell ref="C145:C152"/>
    <mergeCell ref="J161:J168"/>
    <mergeCell ref="J145:J152"/>
    <mergeCell ref="J118:J125"/>
    <mergeCell ref="F118:F125"/>
    <mergeCell ref="E118:E125"/>
    <mergeCell ref="D118:D125"/>
    <mergeCell ref="C118:C125"/>
    <mergeCell ref="C110:C117"/>
    <mergeCell ref="J110:J117"/>
    <mergeCell ref="F110:F117"/>
    <mergeCell ref="D137:D144"/>
    <mergeCell ref="E137:E144"/>
    <mergeCell ref="F137:F144"/>
    <mergeCell ref="J137:J144"/>
    <mergeCell ref="C129:C136"/>
    <mergeCell ref="D129:D136"/>
    <mergeCell ref="E129:E136"/>
    <mergeCell ref="F129:F136"/>
    <mergeCell ref="C137:C144"/>
    <mergeCell ref="D145:D152"/>
    <mergeCell ref="F145:F152"/>
    <mergeCell ref="C21:C23"/>
    <mergeCell ref="D21:D23"/>
    <mergeCell ref="F21:F23"/>
    <mergeCell ref="J21:J23"/>
    <mergeCell ref="E21:E23"/>
    <mergeCell ref="C18:K18"/>
    <mergeCell ref="C19:K19"/>
    <mergeCell ref="C48:C55"/>
    <mergeCell ref="D48:D55"/>
    <mergeCell ref="E48:E55"/>
    <mergeCell ref="F48:F55"/>
    <mergeCell ref="J48:J55"/>
    <mergeCell ref="C32:C39"/>
    <mergeCell ref="E32:E39"/>
    <mergeCell ref="F32:F39"/>
    <mergeCell ref="C72:C74"/>
    <mergeCell ref="D72:D74"/>
    <mergeCell ref="F72:F74"/>
    <mergeCell ref="J72:J74"/>
    <mergeCell ref="G73:G74"/>
    <mergeCell ref="H73:H74"/>
    <mergeCell ref="J24:J31"/>
    <mergeCell ref="C40:C47"/>
    <mergeCell ref="D40:D47"/>
    <mergeCell ref="E40:E47"/>
    <mergeCell ref="F40:F47"/>
    <mergeCell ref="J40:J47"/>
    <mergeCell ref="C24:C31"/>
    <mergeCell ref="D24:D31"/>
    <mergeCell ref="E24:E31"/>
    <mergeCell ref="F24:F31"/>
    <mergeCell ref="I32:I39"/>
    <mergeCell ref="E72:E74"/>
    <mergeCell ref="C64:C71"/>
    <mergeCell ref="D64:D71"/>
    <mergeCell ref="E64:E71"/>
    <mergeCell ref="C83:C90"/>
    <mergeCell ref="D83:D90"/>
    <mergeCell ref="E83:E90"/>
    <mergeCell ref="F83:F90"/>
    <mergeCell ref="J83:J90"/>
    <mergeCell ref="C75:C82"/>
    <mergeCell ref="D75:D82"/>
    <mergeCell ref="E75:E82"/>
    <mergeCell ref="F75:F82"/>
    <mergeCell ref="J91:J98"/>
    <mergeCell ref="J99:J101"/>
    <mergeCell ref="G100:G101"/>
    <mergeCell ref="H100:H101"/>
    <mergeCell ref="C99:C101"/>
    <mergeCell ref="D99:D101"/>
    <mergeCell ref="F99:F101"/>
    <mergeCell ref="E99:E101"/>
    <mergeCell ref="I100:I101"/>
    <mergeCell ref="H127:H128"/>
    <mergeCell ref="E126:E128"/>
    <mergeCell ref="D110:D117"/>
    <mergeCell ref="I102:I109"/>
    <mergeCell ref="I110:I117"/>
    <mergeCell ref="G126:I126"/>
    <mergeCell ref="I127:I128"/>
    <mergeCell ref="C91:C98"/>
    <mergeCell ref="D91:D98"/>
    <mergeCell ref="E91:E98"/>
    <mergeCell ref="F91:F98"/>
    <mergeCell ref="C228:C235"/>
    <mergeCell ref="D228:D235"/>
    <mergeCell ref="E228:E235"/>
    <mergeCell ref="F228:F235"/>
    <mergeCell ref="J228:J235"/>
    <mergeCell ref="H186:H187"/>
    <mergeCell ref="C185:C187"/>
    <mergeCell ref="D185:D187"/>
    <mergeCell ref="F185:F187"/>
    <mergeCell ref="J185:J187"/>
    <mergeCell ref="G186:G187"/>
    <mergeCell ref="J188:J195"/>
    <mergeCell ref="C212:C219"/>
    <mergeCell ref="D212:D219"/>
    <mergeCell ref="E212:E219"/>
    <mergeCell ref="F212:F219"/>
    <mergeCell ref="J212:J219"/>
    <mergeCell ref="C188:C195"/>
    <mergeCell ref="D188:D195"/>
    <mergeCell ref="E188:E195"/>
    <mergeCell ref="F188:F195"/>
    <mergeCell ref="C204:C211"/>
    <mergeCell ref="C220:C227"/>
    <mergeCell ref="F204:F211"/>
    <mergeCell ref="K212:K219"/>
    <mergeCell ref="K220:K227"/>
    <mergeCell ref="J220:J227"/>
    <mergeCell ref="J196:J203"/>
    <mergeCell ref="J204:J211"/>
    <mergeCell ref="C153:C160"/>
    <mergeCell ref="D153:D160"/>
    <mergeCell ref="E153:E160"/>
    <mergeCell ref="F153:F160"/>
    <mergeCell ref="J153:J160"/>
    <mergeCell ref="C177:C184"/>
    <mergeCell ref="D177:D184"/>
    <mergeCell ref="E177:E184"/>
    <mergeCell ref="F177:F184"/>
    <mergeCell ref="J177:J184"/>
    <mergeCell ref="C196:C203"/>
    <mergeCell ref="E185:E187"/>
    <mergeCell ref="C161:C168"/>
    <mergeCell ref="D161:D168"/>
    <mergeCell ref="D196:D203"/>
    <mergeCell ref="D204:D211"/>
    <mergeCell ref="D220:D227"/>
    <mergeCell ref="F161:F168"/>
    <mergeCell ref="F196:F203"/>
    <mergeCell ref="F220:F227"/>
    <mergeCell ref="E13:E14"/>
    <mergeCell ref="F13:J14"/>
    <mergeCell ref="F15:J15"/>
    <mergeCell ref="J129:J136"/>
    <mergeCell ref="J75:J82"/>
    <mergeCell ref="F64:F71"/>
    <mergeCell ref="J64:J71"/>
    <mergeCell ref="G22:G23"/>
    <mergeCell ref="H22:H23"/>
    <mergeCell ref="G21:I21"/>
    <mergeCell ref="I22:I23"/>
    <mergeCell ref="I24:I31"/>
    <mergeCell ref="I40:I47"/>
    <mergeCell ref="I48:I55"/>
    <mergeCell ref="I64:I71"/>
    <mergeCell ref="G72:I72"/>
    <mergeCell ref="I73:I74"/>
    <mergeCell ref="I75:I82"/>
    <mergeCell ref="I83:I90"/>
    <mergeCell ref="I91:I98"/>
    <mergeCell ref="G99:I99"/>
    <mergeCell ref="G185:I185"/>
    <mergeCell ref="I186:I187"/>
    <mergeCell ref="K228:K235"/>
    <mergeCell ref="K196:K203"/>
    <mergeCell ref="K21:K23"/>
    <mergeCell ref="K24:K31"/>
    <mergeCell ref="K40:K47"/>
    <mergeCell ref="K48:K55"/>
    <mergeCell ref="K64:K71"/>
    <mergeCell ref="K72:K74"/>
    <mergeCell ref="K99:K101"/>
    <mergeCell ref="K126:K128"/>
    <mergeCell ref="K185:K187"/>
    <mergeCell ref="K75:K82"/>
    <mergeCell ref="K83:K90"/>
    <mergeCell ref="K91:K98"/>
    <mergeCell ref="K102:K109"/>
    <mergeCell ref="K110:K117"/>
    <mergeCell ref="K118:K125"/>
    <mergeCell ref="K129:K136"/>
    <mergeCell ref="K137:K144"/>
    <mergeCell ref="K145:K152"/>
    <mergeCell ref="K153:K160"/>
    <mergeCell ref="K161:K168"/>
    <mergeCell ref="K177:K184"/>
    <mergeCell ref="K188:K195"/>
    <mergeCell ref="B24:B31"/>
    <mergeCell ref="B21:B23"/>
    <mergeCell ref="B40:B47"/>
    <mergeCell ref="B48:B55"/>
    <mergeCell ref="B64:B71"/>
    <mergeCell ref="B72:B74"/>
    <mergeCell ref="B75:B82"/>
    <mergeCell ref="B83:B90"/>
    <mergeCell ref="B91:B98"/>
    <mergeCell ref="B32:B39"/>
    <mergeCell ref="B56:B63"/>
    <mergeCell ref="B99:B101"/>
    <mergeCell ref="B102:B109"/>
    <mergeCell ref="B110:B117"/>
    <mergeCell ref="B118:B125"/>
    <mergeCell ref="B126:B128"/>
    <mergeCell ref="B129:B136"/>
    <mergeCell ref="B137:B144"/>
    <mergeCell ref="B145:B152"/>
    <mergeCell ref="B153:B160"/>
    <mergeCell ref="B161:B168"/>
    <mergeCell ref="B177:B184"/>
    <mergeCell ref="B185:B187"/>
    <mergeCell ref="B188:B195"/>
    <mergeCell ref="B196:B203"/>
    <mergeCell ref="B204:B211"/>
    <mergeCell ref="B212:B219"/>
    <mergeCell ref="B220:B227"/>
    <mergeCell ref="B228:B235"/>
    <mergeCell ref="B169:B176"/>
    <mergeCell ref="L21:L23"/>
    <mergeCell ref="L24:L31"/>
    <mergeCell ref="L40:L47"/>
    <mergeCell ref="L48:L55"/>
    <mergeCell ref="L64:L71"/>
    <mergeCell ref="L72:L74"/>
    <mergeCell ref="L75:L82"/>
    <mergeCell ref="L83:L90"/>
    <mergeCell ref="L91:L98"/>
    <mergeCell ref="L56:L63"/>
    <mergeCell ref="L32:L39"/>
    <mergeCell ref="M169:M176"/>
    <mergeCell ref="L220:L227"/>
    <mergeCell ref="L228:L235"/>
    <mergeCell ref="L99:L101"/>
    <mergeCell ref="L102:L109"/>
    <mergeCell ref="L110:L117"/>
    <mergeCell ref="L118:L125"/>
    <mergeCell ref="L126:L128"/>
    <mergeCell ref="L129:L136"/>
    <mergeCell ref="L137:L144"/>
    <mergeCell ref="L145:L152"/>
    <mergeCell ref="L153:L160"/>
    <mergeCell ref="L161:L168"/>
    <mergeCell ref="L177:L184"/>
    <mergeCell ref="L185:L187"/>
    <mergeCell ref="L188:L195"/>
    <mergeCell ref="L196:L203"/>
    <mergeCell ref="L204:L211"/>
    <mergeCell ref="L212:L219"/>
    <mergeCell ref="L169:L176"/>
    <mergeCell ref="M32:M39"/>
    <mergeCell ref="M188:M195"/>
    <mergeCell ref="M196:M203"/>
    <mergeCell ref="M204:M211"/>
    <mergeCell ref="M212:M219"/>
    <mergeCell ref="M21:M23"/>
    <mergeCell ref="M24:M31"/>
    <mergeCell ref="M40:M47"/>
    <mergeCell ref="M48:M55"/>
    <mergeCell ref="M64:M71"/>
    <mergeCell ref="M72:M74"/>
    <mergeCell ref="M75:M82"/>
    <mergeCell ref="M83:M90"/>
    <mergeCell ref="M91:M98"/>
    <mergeCell ref="M118:M125"/>
    <mergeCell ref="M126:M128"/>
    <mergeCell ref="M129:M136"/>
    <mergeCell ref="M137:M144"/>
    <mergeCell ref="M145:M152"/>
    <mergeCell ref="M153:M160"/>
    <mergeCell ref="M161:M168"/>
    <mergeCell ref="M177:M184"/>
    <mergeCell ref="M185:M187"/>
    <mergeCell ref="M56:M63"/>
    <mergeCell ref="K204:K211"/>
    <mergeCell ref="O220:O227"/>
    <mergeCell ref="O228:O235"/>
    <mergeCell ref="O99:O101"/>
    <mergeCell ref="O102:O109"/>
    <mergeCell ref="O110:O117"/>
    <mergeCell ref="O118:O125"/>
    <mergeCell ref="O126:O128"/>
    <mergeCell ref="O129:O136"/>
    <mergeCell ref="O137:O144"/>
    <mergeCell ref="O145:O152"/>
    <mergeCell ref="O153:O160"/>
    <mergeCell ref="O161:O168"/>
    <mergeCell ref="O177:O184"/>
    <mergeCell ref="O185:O187"/>
    <mergeCell ref="O188:O195"/>
    <mergeCell ref="O196:O203"/>
    <mergeCell ref="O204:O211"/>
    <mergeCell ref="O212:O219"/>
    <mergeCell ref="M220:M227"/>
    <mergeCell ref="M228:M235"/>
    <mergeCell ref="M99:M101"/>
    <mergeCell ref="M102:M109"/>
    <mergeCell ref="M110:M117"/>
    <mergeCell ref="C56:C63"/>
    <mergeCell ref="D56:D63"/>
    <mergeCell ref="E56:E63"/>
    <mergeCell ref="F56:F63"/>
    <mergeCell ref="J56:J63"/>
    <mergeCell ref="K56:K63"/>
    <mergeCell ref="C169:C176"/>
    <mergeCell ref="D169:D176"/>
    <mergeCell ref="E161:E168"/>
    <mergeCell ref="E169:E176"/>
    <mergeCell ref="F169:F176"/>
    <mergeCell ref="I169:I176"/>
    <mergeCell ref="J169:J176"/>
    <mergeCell ref="K169:K176"/>
    <mergeCell ref="C102:C109"/>
    <mergeCell ref="D102:D109"/>
    <mergeCell ref="E102:E109"/>
    <mergeCell ref="F102:F109"/>
    <mergeCell ref="J102:J109"/>
    <mergeCell ref="C126:C128"/>
    <mergeCell ref="D126:D128"/>
    <mergeCell ref="F126:F128"/>
    <mergeCell ref="J126:J128"/>
    <mergeCell ref="G127:G128"/>
    <mergeCell ref="N126:N128"/>
    <mergeCell ref="N129:N136"/>
    <mergeCell ref="N137:N144"/>
    <mergeCell ref="N21:N23"/>
    <mergeCell ref="N24:N31"/>
    <mergeCell ref="O32:O39"/>
    <mergeCell ref="N40:N47"/>
    <mergeCell ref="N48:N55"/>
    <mergeCell ref="N56:N63"/>
    <mergeCell ref="N64:N71"/>
    <mergeCell ref="N72:N74"/>
    <mergeCell ref="N75:N82"/>
    <mergeCell ref="O21:O23"/>
    <mergeCell ref="O24:O31"/>
    <mergeCell ref="O40:O47"/>
    <mergeCell ref="O48:O55"/>
    <mergeCell ref="O64:O71"/>
    <mergeCell ref="O72:O74"/>
    <mergeCell ref="O75:O82"/>
    <mergeCell ref="O83:O90"/>
    <mergeCell ref="O91:O98"/>
    <mergeCell ref="O56:O63"/>
    <mergeCell ref="N212:N219"/>
    <mergeCell ref="N220:N227"/>
    <mergeCell ref="N228:N235"/>
    <mergeCell ref="N32:N39"/>
    <mergeCell ref="E110:E117"/>
    <mergeCell ref="E145:E152"/>
    <mergeCell ref="E196:E203"/>
    <mergeCell ref="E204:E211"/>
    <mergeCell ref="E220:E227"/>
    <mergeCell ref="N145:N152"/>
    <mergeCell ref="N153:N160"/>
    <mergeCell ref="N161:N168"/>
    <mergeCell ref="N169:N176"/>
    <mergeCell ref="N177:N184"/>
    <mergeCell ref="N185:N187"/>
    <mergeCell ref="N188:N195"/>
    <mergeCell ref="N196:N203"/>
    <mergeCell ref="N204:N211"/>
    <mergeCell ref="N83:N90"/>
    <mergeCell ref="N91:N98"/>
    <mergeCell ref="N99:N101"/>
    <mergeCell ref="N102:N109"/>
    <mergeCell ref="N110:N117"/>
    <mergeCell ref="N118:N125"/>
  </mergeCells>
  <dataValidations count="1">
    <dataValidation type="list" allowBlank="1" showInputMessage="1" showErrorMessage="1" sqref="F177:F184 J75:J98 J102:J125 F75:F98 J177 F102:F125 J228 F40:F71 F228:F235 F129:F145 J169 F188:F196 F204 F212:F220 J129 J137 J145 J153 J161 J188 J196 J204 J212 J220 F24:F32 J24:J32 F169 J40:J56 J64:J71 F153 F161" xr:uid="{00000000-0002-0000-0200-000000000000}">
      <formula1>"1,2,3"</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83A343"/>
  </sheetPr>
  <dimension ref="B5:P160"/>
  <sheetViews>
    <sheetView showGridLines="0" topLeftCell="A143" zoomScale="80" zoomScaleNormal="80" workbookViewId="0">
      <selection activeCell="J110" sqref="J110:J117"/>
    </sheetView>
  </sheetViews>
  <sheetFormatPr baseColWidth="10" defaultColWidth="3.109375" defaultRowHeight="22.5" customHeight="1" x14ac:dyDescent="0.25"/>
  <cols>
    <col min="1" max="1" width="2.5546875" style="15" customWidth="1"/>
    <col min="2" max="2" width="3.44140625" style="15" hidden="1" customWidth="1"/>
    <col min="3" max="4" width="42.5546875" style="15" customWidth="1"/>
    <col min="5" max="5" width="38" style="15" customWidth="1"/>
    <col min="6" max="6" width="7.44140625" style="15" customWidth="1"/>
    <col min="7" max="7" width="3.5546875" style="15" bestFit="1" customWidth="1"/>
    <col min="8" max="8" width="37" style="15" customWidth="1"/>
    <col min="9" max="9" width="38" style="15" customWidth="1"/>
    <col min="10" max="10" width="7.44140625" style="15" customWidth="1"/>
    <col min="11" max="11" width="16.109375" style="15" customWidth="1"/>
    <col min="12" max="12" width="4.6640625" style="82" customWidth="1"/>
    <col min="13" max="13" width="7.5546875" style="82" customWidth="1"/>
    <col min="14" max="14" width="6.33203125" style="83" customWidth="1"/>
    <col min="15" max="15" width="6.33203125" style="108" customWidth="1"/>
    <col min="16" max="16" width="3.109375" style="109" customWidth="1"/>
    <col min="17" max="16364" width="3.109375" style="15" customWidth="1"/>
    <col min="16365" max="16384" width="3.109375" style="15"/>
  </cols>
  <sheetData>
    <row r="5" spans="2:16" ht="9.9499999999999993" customHeight="1" x14ac:dyDescent="0.25"/>
    <row r="6" spans="2:16" ht="31.55" customHeight="1" x14ac:dyDescent="0.25"/>
    <row r="7" spans="2:16" ht="30.85" customHeight="1" x14ac:dyDescent="0.25">
      <c r="E7" s="20"/>
      <c r="F7" s="20"/>
    </row>
    <row r="8" spans="2:16" ht="20.3" customHeight="1" x14ac:dyDescent="0.25"/>
    <row r="9" spans="2:16" ht="9.9499999999999993" customHeight="1" x14ac:dyDescent="0.25"/>
    <row r="10" spans="2:16" ht="19.75" customHeight="1" x14ac:dyDescent="0.25">
      <c r="C10" s="344" t="s">
        <v>171</v>
      </c>
      <c r="D10" s="344"/>
      <c r="E10" s="344"/>
      <c r="F10" s="344"/>
      <c r="G10" s="344"/>
      <c r="H10" s="344"/>
      <c r="I10" s="344"/>
      <c r="J10" s="344"/>
      <c r="K10" s="344"/>
    </row>
    <row r="11" spans="2:16" ht="71.3" customHeight="1" x14ac:dyDescent="0.25">
      <c r="C11" s="311" t="s">
        <v>172</v>
      </c>
      <c r="D11" s="311"/>
      <c r="E11" s="311"/>
      <c r="F11" s="311"/>
      <c r="G11" s="311"/>
      <c r="H11" s="311"/>
      <c r="I11" s="311"/>
      <c r="J11" s="311"/>
      <c r="K11" s="311"/>
    </row>
    <row r="12" spans="2:16" ht="9.9499999999999993" customHeight="1" x14ac:dyDescent="0.25">
      <c r="C12" s="16"/>
      <c r="D12" s="16"/>
      <c r="F12" s="17"/>
    </row>
    <row r="13" spans="2:16" ht="36.75" customHeight="1" x14ac:dyDescent="0.25">
      <c r="B13" s="329" t="s">
        <v>111</v>
      </c>
      <c r="C13" s="335" t="s">
        <v>173</v>
      </c>
      <c r="D13" s="349" t="s">
        <v>8</v>
      </c>
      <c r="E13" s="349" t="s">
        <v>174</v>
      </c>
      <c r="F13" s="336" t="s">
        <v>175</v>
      </c>
      <c r="G13" s="347" t="s">
        <v>116</v>
      </c>
      <c r="H13" s="348"/>
      <c r="I13" s="348"/>
      <c r="J13" s="336" t="s">
        <v>176</v>
      </c>
      <c r="K13" s="336" t="s">
        <v>136</v>
      </c>
      <c r="L13" s="379"/>
      <c r="M13" s="379"/>
      <c r="N13" s="325"/>
      <c r="O13" s="381"/>
      <c r="P13" s="383"/>
    </row>
    <row r="14" spans="2:16" ht="29.25" customHeight="1" x14ac:dyDescent="0.25">
      <c r="B14" s="330"/>
      <c r="C14" s="330"/>
      <c r="D14" s="351"/>
      <c r="E14" s="351"/>
      <c r="F14" s="336"/>
      <c r="G14" s="376" t="s">
        <v>13</v>
      </c>
      <c r="H14" s="349" t="s">
        <v>15</v>
      </c>
      <c r="I14" s="349" t="s">
        <v>17</v>
      </c>
      <c r="J14" s="336"/>
      <c r="K14" s="336"/>
      <c r="L14" s="379"/>
      <c r="M14" s="379"/>
      <c r="N14" s="325"/>
      <c r="O14" s="381"/>
      <c r="P14" s="383"/>
    </row>
    <row r="15" spans="2:16" ht="99.8" customHeight="1" thickBot="1" x14ac:dyDescent="0.3">
      <c r="B15" s="331"/>
      <c r="C15" s="331"/>
      <c r="D15" s="352"/>
      <c r="E15" s="352"/>
      <c r="F15" s="337"/>
      <c r="G15" s="377"/>
      <c r="H15" s="350"/>
      <c r="I15" s="350"/>
      <c r="J15" s="337"/>
      <c r="K15" s="337"/>
      <c r="L15" s="379"/>
      <c r="M15" s="379"/>
      <c r="N15" s="325"/>
      <c r="O15" s="381"/>
      <c r="P15" s="383"/>
    </row>
    <row r="16" spans="2:16" ht="26.25" customHeight="1" x14ac:dyDescent="0.25">
      <c r="B16" s="231" t="str">
        <f>+LEFT(C16,3)</f>
        <v>6.1</v>
      </c>
      <c r="C16" s="338" t="s">
        <v>177</v>
      </c>
      <c r="D16" s="219" t="s">
        <v>178</v>
      </c>
      <c r="E16" s="288" t="s">
        <v>411</v>
      </c>
      <c r="F16" s="222">
        <v>3</v>
      </c>
      <c r="G16" s="121">
        <v>1</v>
      </c>
      <c r="H16" s="153" t="s">
        <v>412</v>
      </c>
      <c r="I16" s="205" t="s">
        <v>414</v>
      </c>
      <c r="J16" s="234">
        <v>3</v>
      </c>
      <c r="K16" s="266" t="str">
        <f t="shared" ref="K16" si="0">+IF(OR(ISBLANK(F16),ISBLANK(J16)),"",IF(OR(AND(F16=1,J16=1),AND(F16=1,J16=2),AND(F16=1,J16=3)),"Deficiencia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47">
        <f>+IF(K16="",75,IF(K16="Deficiencia de control mayor (diseño y ejecución)",80,IF(K16="Deficiencia de control (diseño o ejecución)",100,IF(K16="Oportunidad de mejora",120,140))))</f>
        <v>140</v>
      </c>
      <c r="M16" s="380">
        <v>1.7896000000000001</v>
      </c>
      <c r="N16" s="323">
        <f>+L16+M16</f>
        <v>141.78960000000001</v>
      </c>
      <c r="P16" s="384"/>
    </row>
    <row r="17" spans="2:16" ht="26.25" customHeight="1" x14ac:dyDescent="0.25">
      <c r="B17" s="232"/>
      <c r="C17" s="339"/>
      <c r="D17" s="220"/>
      <c r="E17" s="289"/>
      <c r="F17" s="223"/>
      <c r="G17" s="115">
        <v>2</v>
      </c>
      <c r="H17" s="154" t="s">
        <v>413</v>
      </c>
      <c r="I17" s="206"/>
      <c r="J17" s="235"/>
      <c r="K17" s="267"/>
      <c r="L17" s="247"/>
      <c r="M17" s="380"/>
      <c r="N17" s="323"/>
      <c r="P17" s="384"/>
    </row>
    <row r="18" spans="2:16" ht="26.25" customHeight="1" x14ac:dyDescent="0.25">
      <c r="B18" s="232"/>
      <c r="C18" s="339"/>
      <c r="D18" s="220"/>
      <c r="E18" s="289"/>
      <c r="F18" s="223"/>
      <c r="G18" s="115">
        <v>3</v>
      </c>
      <c r="H18" s="154"/>
      <c r="I18" s="206"/>
      <c r="J18" s="235"/>
      <c r="K18" s="267"/>
      <c r="L18" s="247"/>
      <c r="M18" s="380"/>
      <c r="N18" s="323"/>
      <c r="P18" s="384"/>
    </row>
    <row r="19" spans="2:16" ht="26.25" customHeight="1" x14ac:dyDescent="0.25">
      <c r="B19" s="232"/>
      <c r="C19" s="339"/>
      <c r="D19" s="220"/>
      <c r="E19" s="289"/>
      <c r="F19" s="223"/>
      <c r="G19" s="115">
        <v>4</v>
      </c>
      <c r="H19" s="154"/>
      <c r="I19" s="206"/>
      <c r="J19" s="235"/>
      <c r="K19" s="267"/>
      <c r="L19" s="247"/>
      <c r="M19" s="380"/>
      <c r="N19" s="323"/>
      <c r="P19" s="384"/>
    </row>
    <row r="20" spans="2:16" ht="26.25" customHeight="1" x14ac:dyDescent="0.25">
      <c r="B20" s="232"/>
      <c r="C20" s="339"/>
      <c r="D20" s="220"/>
      <c r="E20" s="289"/>
      <c r="F20" s="223"/>
      <c r="G20" s="115">
        <v>5</v>
      </c>
      <c r="H20" s="154"/>
      <c r="I20" s="206"/>
      <c r="J20" s="235"/>
      <c r="K20" s="267"/>
      <c r="L20" s="247"/>
      <c r="M20" s="380"/>
      <c r="N20" s="323"/>
      <c r="P20" s="384"/>
    </row>
    <row r="21" spans="2:16" ht="26.25" customHeight="1" x14ac:dyDescent="0.25">
      <c r="B21" s="232"/>
      <c r="C21" s="339"/>
      <c r="D21" s="220"/>
      <c r="E21" s="289"/>
      <c r="F21" s="223"/>
      <c r="G21" s="115">
        <v>6</v>
      </c>
      <c r="H21" s="154"/>
      <c r="I21" s="206"/>
      <c r="J21" s="235"/>
      <c r="K21" s="267"/>
      <c r="L21" s="247"/>
      <c r="M21" s="380"/>
      <c r="N21" s="323"/>
      <c r="P21" s="384"/>
    </row>
    <row r="22" spans="2:16" ht="26.25" customHeight="1" x14ac:dyDescent="0.25">
      <c r="B22" s="232"/>
      <c r="C22" s="339"/>
      <c r="D22" s="220"/>
      <c r="E22" s="289"/>
      <c r="F22" s="223"/>
      <c r="G22" s="115">
        <v>7</v>
      </c>
      <c r="H22" s="154"/>
      <c r="I22" s="206"/>
      <c r="J22" s="235"/>
      <c r="K22" s="267"/>
      <c r="L22" s="247"/>
      <c r="M22" s="380"/>
      <c r="N22" s="323"/>
      <c r="P22" s="384"/>
    </row>
    <row r="23" spans="2:16" ht="26.25" customHeight="1" thickBot="1" x14ac:dyDescent="0.3">
      <c r="B23" s="233"/>
      <c r="C23" s="340"/>
      <c r="D23" s="221"/>
      <c r="E23" s="290"/>
      <c r="F23" s="224"/>
      <c r="G23" s="120">
        <v>8</v>
      </c>
      <c r="H23" s="155"/>
      <c r="I23" s="207"/>
      <c r="J23" s="236"/>
      <c r="K23" s="268"/>
      <c r="L23" s="247"/>
      <c r="M23" s="380"/>
      <c r="N23" s="323"/>
      <c r="P23" s="384"/>
    </row>
    <row r="24" spans="2:16" ht="22.5" customHeight="1" x14ac:dyDescent="0.25">
      <c r="B24" s="326" t="str">
        <f>+LEFT(C24,3)</f>
        <v>6.2</v>
      </c>
      <c r="C24" s="332" t="s">
        <v>179</v>
      </c>
      <c r="D24" s="219" t="s">
        <v>180</v>
      </c>
      <c r="E24" s="288" t="s">
        <v>415</v>
      </c>
      <c r="F24" s="222">
        <v>2</v>
      </c>
      <c r="G24" s="121">
        <v>1</v>
      </c>
      <c r="H24" s="153"/>
      <c r="I24" s="205" t="s">
        <v>417</v>
      </c>
      <c r="J24" s="222">
        <v>2</v>
      </c>
      <c r="K24" s="266" t="str">
        <f t="shared" ref="K24:K32" si="1">+IF(OR(ISBLANK(F24),ISBLANK(J24)),"",IF(OR(AND(F24=1,J24=1),AND(F24=1,J24=2),AND(F24=1,J24=3)),"Deficiencia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247">
        <f t="shared" ref="L24" si="2">+IF(K24="",75,IF(K24="Deficiencia de control mayor (diseño y ejecución)",80,IF(K24="Deficiencia de control (diseño o ejecución)",100,IF(K24="Oportunidad de mejora",120,140))))</f>
        <v>100</v>
      </c>
      <c r="M24" s="380">
        <v>1.8895999999999999</v>
      </c>
      <c r="N24" s="323">
        <f t="shared" ref="N24" si="3">+L24+M24</f>
        <v>101.8896</v>
      </c>
      <c r="O24" s="382"/>
      <c r="P24" s="384"/>
    </row>
    <row r="25" spans="2:16" ht="22.5" customHeight="1" x14ac:dyDescent="0.25">
      <c r="B25" s="327"/>
      <c r="C25" s="333"/>
      <c r="D25" s="220"/>
      <c r="E25" s="289"/>
      <c r="F25" s="223"/>
      <c r="G25" s="115">
        <v>2</v>
      </c>
      <c r="H25" s="154" t="s">
        <v>416</v>
      </c>
      <c r="I25" s="206"/>
      <c r="J25" s="223"/>
      <c r="K25" s="267"/>
      <c r="L25" s="247"/>
      <c r="M25" s="380"/>
      <c r="N25" s="323"/>
      <c r="O25" s="382"/>
      <c r="P25" s="384"/>
    </row>
    <row r="26" spans="2:16" ht="22.5" customHeight="1" x14ac:dyDescent="0.25">
      <c r="B26" s="327"/>
      <c r="C26" s="333"/>
      <c r="D26" s="220"/>
      <c r="E26" s="289"/>
      <c r="F26" s="223"/>
      <c r="G26" s="115">
        <v>3</v>
      </c>
      <c r="H26" s="154"/>
      <c r="I26" s="206"/>
      <c r="J26" s="223"/>
      <c r="K26" s="267"/>
      <c r="L26" s="247"/>
      <c r="M26" s="380"/>
      <c r="N26" s="323"/>
      <c r="O26" s="382"/>
      <c r="P26" s="384"/>
    </row>
    <row r="27" spans="2:16" ht="22.5" customHeight="1" x14ac:dyDescent="0.25">
      <c r="B27" s="327"/>
      <c r="C27" s="333"/>
      <c r="D27" s="220"/>
      <c r="E27" s="289"/>
      <c r="F27" s="223"/>
      <c r="G27" s="115">
        <v>4</v>
      </c>
      <c r="H27" s="154"/>
      <c r="I27" s="206"/>
      <c r="J27" s="223"/>
      <c r="K27" s="267"/>
      <c r="L27" s="247"/>
      <c r="M27" s="380"/>
      <c r="N27" s="323"/>
      <c r="O27" s="382"/>
      <c r="P27" s="384"/>
    </row>
    <row r="28" spans="2:16" ht="22.5" customHeight="1" x14ac:dyDescent="0.25">
      <c r="B28" s="327"/>
      <c r="C28" s="333"/>
      <c r="D28" s="220"/>
      <c r="E28" s="289"/>
      <c r="F28" s="223"/>
      <c r="G28" s="115">
        <v>5</v>
      </c>
      <c r="H28" s="154"/>
      <c r="I28" s="206"/>
      <c r="J28" s="223"/>
      <c r="K28" s="267"/>
      <c r="L28" s="247"/>
      <c r="M28" s="380"/>
      <c r="N28" s="323"/>
      <c r="O28" s="382"/>
      <c r="P28" s="384"/>
    </row>
    <row r="29" spans="2:16" ht="22.5" customHeight="1" x14ac:dyDescent="0.25">
      <c r="B29" s="327"/>
      <c r="C29" s="333"/>
      <c r="D29" s="220"/>
      <c r="E29" s="289"/>
      <c r="F29" s="223"/>
      <c r="G29" s="115">
        <v>6</v>
      </c>
      <c r="H29" s="154"/>
      <c r="I29" s="206"/>
      <c r="J29" s="223"/>
      <c r="K29" s="267"/>
      <c r="L29" s="247"/>
      <c r="M29" s="380"/>
      <c r="N29" s="323"/>
      <c r="O29" s="382"/>
      <c r="P29" s="384"/>
    </row>
    <row r="30" spans="2:16" ht="22.5" customHeight="1" x14ac:dyDescent="0.25">
      <c r="B30" s="327"/>
      <c r="C30" s="333"/>
      <c r="D30" s="220"/>
      <c r="E30" s="289"/>
      <c r="F30" s="223"/>
      <c r="G30" s="115">
        <v>7</v>
      </c>
      <c r="H30" s="154"/>
      <c r="I30" s="206"/>
      <c r="J30" s="223"/>
      <c r="K30" s="267"/>
      <c r="L30" s="247"/>
      <c r="M30" s="380"/>
      <c r="N30" s="323"/>
      <c r="O30" s="382"/>
      <c r="P30" s="384"/>
    </row>
    <row r="31" spans="2:16" ht="22.5" customHeight="1" thickBot="1" x14ac:dyDescent="0.3">
      <c r="B31" s="328"/>
      <c r="C31" s="334"/>
      <c r="D31" s="221"/>
      <c r="E31" s="290"/>
      <c r="F31" s="224"/>
      <c r="G31" s="120">
        <v>8</v>
      </c>
      <c r="H31" s="155"/>
      <c r="I31" s="207"/>
      <c r="J31" s="224"/>
      <c r="K31" s="268"/>
      <c r="L31" s="247"/>
      <c r="M31" s="380"/>
      <c r="N31" s="323"/>
      <c r="O31" s="382"/>
      <c r="P31" s="384"/>
    </row>
    <row r="32" spans="2:16" ht="22.5" customHeight="1" x14ac:dyDescent="0.25">
      <c r="B32" s="332" t="str">
        <f>+LEFT(C32,3)</f>
        <v>6.3</v>
      </c>
      <c r="C32" s="332" t="s">
        <v>181</v>
      </c>
      <c r="D32" s="219" t="s">
        <v>182</v>
      </c>
      <c r="E32" s="288" t="s">
        <v>418</v>
      </c>
      <c r="F32" s="222">
        <v>3</v>
      </c>
      <c r="G32" s="121">
        <v>1</v>
      </c>
      <c r="H32" s="153"/>
      <c r="I32" s="205" t="s">
        <v>420</v>
      </c>
      <c r="J32" s="222">
        <v>3</v>
      </c>
      <c r="K32" s="266" t="str">
        <f t="shared" si="1"/>
        <v>Mantenimiento del control</v>
      </c>
      <c r="L32" s="247">
        <f t="shared" ref="L32" si="4">+IF(K32="",75,IF(K32="Deficiencia de control mayor (diseño y ejecución)",80,IF(K32="Deficiencia de control (diseño o ejecución)",100,IF(K32="Oportunidad de mejora",120,140))))</f>
        <v>140</v>
      </c>
      <c r="M32" s="380">
        <v>1.9754</v>
      </c>
      <c r="N32" s="323">
        <f t="shared" ref="N32" si="5">+L32+M32</f>
        <v>141.97540000000001</v>
      </c>
      <c r="O32" s="382"/>
      <c r="P32" s="384"/>
    </row>
    <row r="33" spans="2:16" ht="22.5" customHeight="1" x14ac:dyDescent="0.25">
      <c r="B33" s="333"/>
      <c r="C33" s="333"/>
      <c r="D33" s="220"/>
      <c r="E33" s="289"/>
      <c r="F33" s="223"/>
      <c r="G33" s="115">
        <v>2</v>
      </c>
      <c r="H33" s="154" t="s">
        <v>419</v>
      </c>
      <c r="I33" s="206"/>
      <c r="J33" s="223"/>
      <c r="K33" s="267"/>
      <c r="L33" s="247"/>
      <c r="M33" s="380"/>
      <c r="N33" s="323"/>
      <c r="O33" s="382"/>
      <c r="P33" s="384"/>
    </row>
    <row r="34" spans="2:16" ht="22.5" customHeight="1" x14ac:dyDescent="0.25">
      <c r="B34" s="333"/>
      <c r="C34" s="333"/>
      <c r="D34" s="220"/>
      <c r="E34" s="289"/>
      <c r="F34" s="223"/>
      <c r="G34" s="115">
        <v>3</v>
      </c>
      <c r="H34" s="154"/>
      <c r="I34" s="206"/>
      <c r="J34" s="223"/>
      <c r="K34" s="267"/>
      <c r="L34" s="247"/>
      <c r="M34" s="380"/>
      <c r="N34" s="323"/>
      <c r="O34" s="382"/>
      <c r="P34" s="384"/>
    </row>
    <row r="35" spans="2:16" ht="22.5" customHeight="1" x14ac:dyDescent="0.25">
      <c r="B35" s="333"/>
      <c r="C35" s="333"/>
      <c r="D35" s="220"/>
      <c r="E35" s="289"/>
      <c r="F35" s="223"/>
      <c r="G35" s="115">
        <v>4</v>
      </c>
      <c r="H35" s="154"/>
      <c r="I35" s="206"/>
      <c r="J35" s="223"/>
      <c r="K35" s="267"/>
      <c r="L35" s="247"/>
      <c r="M35" s="380"/>
      <c r="N35" s="323"/>
      <c r="O35" s="382"/>
      <c r="P35" s="384"/>
    </row>
    <row r="36" spans="2:16" ht="22.5" customHeight="1" x14ac:dyDescent="0.25">
      <c r="B36" s="333"/>
      <c r="C36" s="333"/>
      <c r="D36" s="220"/>
      <c r="E36" s="289"/>
      <c r="F36" s="223"/>
      <c r="G36" s="115">
        <v>5</v>
      </c>
      <c r="H36" s="154"/>
      <c r="I36" s="206"/>
      <c r="J36" s="223"/>
      <c r="K36" s="267"/>
      <c r="L36" s="247"/>
      <c r="M36" s="380"/>
      <c r="N36" s="323"/>
      <c r="O36" s="382"/>
      <c r="P36" s="384"/>
    </row>
    <row r="37" spans="2:16" ht="22.5" customHeight="1" x14ac:dyDescent="0.25">
      <c r="B37" s="333"/>
      <c r="C37" s="333"/>
      <c r="D37" s="220"/>
      <c r="E37" s="289"/>
      <c r="F37" s="223"/>
      <c r="G37" s="115">
        <v>6</v>
      </c>
      <c r="H37" s="154"/>
      <c r="I37" s="206"/>
      <c r="J37" s="223"/>
      <c r="K37" s="267"/>
      <c r="L37" s="247"/>
      <c r="M37" s="380"/>
      <c r="N37" s="323"/>
      <c r="O37" s="382"/>
      <c r="P37" s="384"/>
    </row>
    <row r="38" spans="2:16" ht="22.5" customHeight="1" x14ac:dyDescent="0.25">
      <c r="B38" s="333"/>
      <c r="C38" s="333"/>
      <c r="D38" s="220"/>
      <c r="E38" s="289"/>
      <c r="F38" s="223"/>
      <c r="G38" s="115">
        <v>7</v>
      </c>
      <c r="H38" s="154"/>
      <c r="I38" s="206"/>
      <c r="J38" s="223"/>
      <c r="K38" s="267"/>
      <c r="L38" s="247"/>
      <c r="M38" s="380"/>
      <c r="N38" s="323"/>
      <c r="O38" s="382"/>
      <c r="P38" s="384"/>
    </row>
    <row r="39" spans="2:16" ht="22.5" customHeight="1" thickBot="1" x14ac:dyDescent="0.3">
      <c r="B39" s="334"/>
      <c r="C39" s="334"/>
      <c r="D39" s="221"/>
      <c r="E39" s="290"/>
      <c r="F39" s="224"/>
      <c r="G39" s="120">
        <v>8</v>
      </c>
      <c r="H39" s="155"/>
      <c r="I39" s="207"/>
      <c r="J39" s="224"/>
      <c r="K39" s="268"/>
      <c r="L39" s="247"/>
      <c r="M39" s="380"/>
      <c r="N39" s="323"/>
      <c r="O39" s="382"/>
      <c r="P39" s="384"/>
    </row>
    <row r="40" spans="2:16" ht="22.5" customHeight="1" x14ac:dyDescent="0.25">
      <c r="B40" s="335"/>
      <c r="C40" s="335" t="s">
        <v>183</v>
      </c>
      <c r="D40" s="349" t="s">
        <v>8</v>
      </c>
      <c r="E40" s="370" t="s">
        <v>174</v>
      </c>
      <c r="F40" s="357" t="s">
        <v>175</v>
      </c>
      <c r="G40" s="372" t="s">
        <v>116</v>
      </c>
      <c r="H40" s="373"/>
      <c r="I40" s="373"/>
      <c r="J40" s="357" t="s">
        <v>176</v>
      </c>
      <c r="K40" s="345" t="s">
        <v>136</v>
      </c>
      <c r="L40" s="378"/>
      <c r="M40" s="378"/>
      <c r="N40" s="324"/>
      <c r="O40" s="381"/>
      <c r="P40" s="383"/>
    </row>
    <row r="41" spans="2:16" ht="22.5" customHeight="1" x14ac:dyDescent="0.25">
      <c r="B41" s="330"/>
      <c r="C41" s="330"/>
      <c r="D41" s="351"/>
      <c r="E41" s="374"/>
      <c r="F41" s="357"/>
      <c r="G41" s="365" t="s">
        <v>13</v>
      </c>
      <c r="H41" s="370" t="s">
        <v>15</v>
      </c>
      <c r="I41" s="370" t="s">
        <v>17</v>
      </c>
      <c r="J41" s="357"/>
      <c r="K41" s="345"/>
      <c r="L41" s="378"/>
      <c r="M41" s="378"/>
      <c r="N41" s="324"/>
      <c r="O41" s="381"/>
      <c r="P41" s="383"/>
    </row>
    <row r="42" spans="2:16" ht="91.45" customHeight="1" thickBot="1" x14ac:dyDescent="0.3">
      <c r="B42" s="331"/>
      <c r="C42" s="331"/>
      <c r="D42" s="352"/>
      <c r="E42" s="375"/>
      <c r="F42" s="358"/>
      <c r="G42" s="366"/>
      <c r="H42" s="371"/>
      <c r="I42" s="371"/>
      <c r="J42" s="358"/>
      <c r="K42" s="346"/>
      <c r="L42" s="378"/>
      <c r="M42" s="378"/>
      <c r="N42" s="324"/>
      <c r="O42" s="381"/>
      <c r="P42" s="383"/>
    </row>
    <row r="43" spans="2:16" ht="22.5" customHeight="1" x14ac:dyDescent="0.25">
      <c r="B43" s="326" t="str">
        <f>+LEFT(C43,3)</f>
        <v>7.1</v>
      </c>
      <c r="C43" s="353" t="s">
        <v>184</v>
      </c>
      <c r="D43" s="367" t="s">
        <v>178</v>
      </c>
      <c r="E43" s="288" t="s">
        <v>421</v>
      </c>
      <c r="F43" s="222">
        <v>2</v>
      </c>
      <c r="G43" s="153">
        <v>1</v>
      </c>
      <c r="H43" s="153" t="s">
        <v>422</v>
      </c>
      <c r="I43" s="202" t="s">
        <v>423</v>
      </c>
      <c r="J43" s="222">
        <v>2</v>
      </c>
      <c r="K43" s="266" t="str">
        <f t="shared" ref="K43:K75" si="6">+IF(OR(ISBLANK(F43),ISBLANK(J43)),"",IF(OR(AND(F43=1,J43=1),AND(F43=1,J43=2),AND(F43=1,J43=3)),"Deficiencia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247">
        <f t="shared" ref="L43:L75" si="7">+IF(K43="",75,IF(K43="Deficiencia de control mayor (diseño y ejecución)",80,IF(K43="Deficiencia de control (diseño o ejecución)",100,IF(K43="Oportunidad de mejora",120,140))))</f>
        <v>100</v>
      </c>
      <c r="M43" s="380">
        <v>2.0895999999999999</v>
      </c>
      <c r="N43" s="323">
        <f>+L43+M43</f>
        <v>102.0896</v>
      </c>
      <c r="O43" s="382"/>
      <c r="P43" s="384"/>
    </row>
    <row r="44" spans="2:16" ht="22.5" customHeight="1" x14ac:dyDescent="0.25">
      <c r="B44" s="327"/>
      <c r="C44" s="354"/>
      <c r="D44" s="368"/>
      <c r="E44" s="289"/>
      <c r="F44" s="223"/>
      <c r="G44" s="154">
        <v>2</v>
      </c>
      <c r="H44" s="154"/>
      <c r="I44" s="203"/>
      <c r="J44" s="223"/>
      <c r="K44" s="267"/>
      <c r="L44" s="247"/>
      <c r="M44" s="380"/>
      <c r="N44" s="323"/>
      <c r="O44" s="382"/>
      <c r="P44" s="384"/>
    </row>
    <row r="45" spans="2:16" ht="22.5" customHeight="1" x14ac:dyDescent="0.25">
      <c r="B45" s="327"/>
      <c r="C45" s="354"/>
      <c r="D45" s="368"/>
      <c r="E45" s="289"/>
      <c r="F45" s="223"/>
      <c r="G45" s="154">
        <v>3</v>
      </c>
      <c r="H45" s="154"/>
      <c r="I45" s="203"/>
      <c r="J45" s="223"/>
      <c r="K45" s="267"/>
      <c r="L45" s="247"/>
      <c r="M45" s="380"/>
      <c r="N45" s="323"/>
      <c r="O45" s="382"/>
      <c r="P45" s="384"/>
    </row>
    <row r="46" spans="2:16" ht="22.5" customHeight="1" x14ac:dyDescent="0.25">
      <c r="B46" s="327"/>
      <c r="C46" s="354"/>
      <c r="D46" s="368"/>
      <c r="E46" s="289"/>
      <c r="F46" s="223"/>
      <c r="G46" s="154">
        <v>4</v>
      </c>
      <c r="H46" s="154"/>
      <c r="I46" s="203"/>
      <c r="J46" s="223"/>
      <c r="K46" s="267"/>
      <c r="L46" s="247"/>
      <c r="M46" s="380"/>
      <c r="N46" s="323"/>
      <c r="O46" s="382"/>
      <c r="P46" s="384"/>
    </row>
    <row r="47" spans="2:16" ht="22.5" customHeight="1" x14ac:dyDescent="0.25">
      <c r="B47" s="327"/>
      <c r="C47" s="354"/>
      <c r="D47" s="368"/>
      <c r="E47" s="289"/>
      <c r="F47" s="223"/>
      <c r="G47" s="154">
        <v>5</v>
      </c>
      <c r="H47" s="154"/>
      <c r="I47" s="203"/>
      <c r="J47" s="223"/>
      <c r="K47" s="267"/>
      <c r="L47" s="247"/>
      <c r="M47" s="380"/>
      <c r="N47" s="323"/>
      <c r="O47" s="382"/>
      <c r="P47" s="384"/>
    </row>
    <row r="48" spans="2:16" ht="22.5" customHeight="1" x14ac:dyDescent="0.25">
      <c r="B48" s="327"/>
      <c r="C48" s="354"/>
      <c r="D48" s="368"/>
      <c r="E48" s="289"/>
      <c r="F48" s="223"/>
      <c r="G48" s="154">
        <v>6</v>
      </c>
      <c r="H48" s="154"/>
      <c r="I48" s="203"/>
      <c r="J48" s="223"/>
      <c r="K48" s="267"/>
      <c r="L48" s="247"/>
      <c r="M48" s="380"/>
      <c r="N48" s="323"/>
      <c r="O48" s="382"/>
      <c r="P48" s="384"/>
    </row>
    <row r="49" spans="2:16" ht="22.5" customHeight="1" x14ac:dyDescent="0.25">
      <c r="B49" s="327"/>
      <c r="C49" s="354"/>
      <c r="D49" s="368"/>
      <c r="E49" s="289"/>
      <c r="F49" s="223"/>
      <c r="G49" s="154">
        <v>7</v>
      </c>
      <c r="H49" s="154"/>
      <c r="I49" s="203"/>
      <c r="J49" s="223"/>
      <c r="K49" s="267"/>
      <c r="L49" s="247"/>
      <c r="M49" s="380"/>
      <c r="N49" s="323"/>
      <c r="O49" s="382"/>
      <c r="P49" s="384"/>
    </row>
    <row r="50" spans="2:16" ht="22.5" customHeight="1" thickBot="1" x14ac:dyDescent="0.3">
      <c r="B50" s="328"/>
      <c r="C50" s="355"/>
      <c r="D50" s="369"/>
      <c r="E50" s="290"/>
      <c r="F50" s="224"/>
      <c r="G50" s="155">
        <v>8</v>
      </c>
      <c r="H50" s="155"/>
      <c r="I50" s="204"/>
      <c r="J50" s="224"/>
      <c r="K50" s="268"/>
      <c r="L50" s="247"/>
      <c r="M50" s="380"/>
      <c r="N50" s="323"/>
      <c r="O50" s="382"/>
      <c r="P50" s="384"/>
    </row>
    <row r="51" spans="2:16" ht="38.299999999999997" customHeight="1" x14ac:dyDescent="0.25">
      <c r="B51" s="326" t="str">
        <f>+LEFT(C51,3)</f>
        <v>7.2</v>
      </c>
      <c r="C51" s="332" t="s">
        <v>185</v>
      </c>
      <c r="D51" s="219" t="s">
        <v>186</v>
      </c>
      <c r="E51" s="288" t="s">
        <v>424</v>
      </c>
      <c r="F51" s="222">
        <v>2</v>
      </c>
      <c r="G51" s="153">
        <v>1</v>
      </c>
      <c r="H51" s="153" t="s">
        <v>422</v>
      </c>
      <c r="I51" s="205" t="s">
        <v>425</v>
      </c>
      <c r="J51" s="222">
        <v>2</v>
      </c>
      <c r="K51" s="266" t="str">
        <f t="shared" si="6"/>
        <v>Deficiencia de control (diseño o ejecución)</v>
      </c>
      <c r="L51" s="247">
        <f t="shared" si="7"/>
        <v>100</v>
      </c>
      <c r="M51" s="380">
        <v>2.1456</v>
      </c>
      <c r="N51" s="323">
        <f t="shared" ref="N51:N75" si="8">+L51+M51</f>
        <v>102.1456</v>
      </c>
      <c r="O51" s="382"/>
      <c r="P51" s="384"/>
    </row>
    <row r="52" spans="2:16" ht="38.299999999999997" customHeight="1" x14ac:dyDescent="0.25">
      <c r="B52" s="327"/>
      <c r="C52" s="333"/>
      <c r="D52" s="220"/>
      <c r="E52" s="289"/>
      <c r="F52" s="223"/>
      <c r="G52" s="154">
        <v>2</v>
      </c>
      <c r="H52" s="154"/>
      <c r="I52" s="206"/>
      <c r="J52" s="223"/>
      <c r="K52" s="267"/>
      <c r="L52" s="247"/>
      <c r="M52" s="380"/>
      <c r="N52" s="323"/>
      <c r="O52" s="382"/>
      <c r="P52" s="384"/>
    </row>
    <row r="53" spans="2:16" ht="38.299999999999997" customHeight="1" x14ac:dyDescent="0.25">
      <c r="B53" s="327"/>
      <c r="C53" s="333"/>
      <c r="D53" s="220"/>
      <c r="E53" s="289"/>
      <c r="F53" s="223"/>
      <c r="G53" s="154">
        <v>3</v>
      </c>
      <c r="H53" s="154"/>
      <c r="I53" s="206"/>
      <c r="J53" s="223"/>
      <c r="K53" s="267"/>
      <c r="L53" s="247"/>
      <c r="M53" s="380"/>
      <c r="N53" s="323"/>
      <c r="O53" s="382"/>
      <c r="P53" s="384"/>
    </row>
    <row r="54" spans="2:16" ht="7.5" customHeight="1" thickBot="1" x14ac:dyDescent="0.3">
      <c r="B54" s="327"/>
      <c r="C54" s="333"/>
      <c r="D54" s="220"/>
      <c r="E54" s="289"/>
      <c r="F54" s="223"/>
      <c r="G54" s="154">
        <v>4</v>
      </c>
      <c r="H54" s="154"/>
      <c r="I54" s="206"/>
      <c r="J54" s="223"/>
      <c r="K54" s="267"/>
      <c r="L54" s="247"/>
      <c r="M54" s="380"/>
      <c r="N54" s="323"/>
      <c r="O54" s="382"/>
      <c r="P54" s="384"/>
    </row>
    <row r="55" spans="2:16" ht="33" hidden="1" customHeight="1" thickBot="1" x14ac:dyDescent="0.3">
      <c r="B55" s="327"/>
      <c r="C55" s="333"/>
      <c r="D55" s="220"/>
      <c r="E55" s="289"/>
      <c r="F55" s="223"/>
      <c r="G55" s="154">
        <v>5</v>
      </c>
      <c r="H55" s="154"/>
      <c r="I55" s="206"/>
      <c r="J55" s="223"/>
      <c r="K55" s="267"/>
      <c r="L55" s="247"/>
      <c r="M55" s="380"/>
      <c r="N55" s="323"/>
      <c r="O55" s="382"/>
      <c r="P55" s="384"/>
    </row>
    <row r="56" spans="2:16" ht="38.299999999999997" hidden="1" customHeight="1" thickBot="1" x14ac:dyDescent="0.3">
      <c r="B56" s="327"/>
      <c r="C56" s="333"/>
      <c r="D56" s="220"/>
      <c r="E56" s="289"/>
      <c r="F56" s="223"/>
      <c r="G56" s="154">
        <v>6</v>
      </c>
      <c r="H56" s="154"/>
      <c r="I56" s="206"/>
      <c r="J56" s="223"/>
      <c r="K56" s="267"/>
      <c r="L56" s="247"/>
      <c r="M56" s="380"/>
      <c r="N56" s="323"/>
      <c r="O56" s="382"/>
      <c r="P56" s="384"/>
    </row>
    <row r="57" spans="2:16" ht="38.299999999999997" hidden="1" customHeight="1" thickBot="1" x14ac:dyDescent="0.3">
      <c r="B57" s="327"/>
      <c r="C57" s="333"/>
      <c r="D57" s="220"/>
      <c r="E57" s="289"/>
      <c r="F57" s="223"/>
      <c r="G57" s="154">
        <v>7</v>
      </c>
      <c r="H57" s="154"/>
      <c r="I57" s="206"/>
      <c r="J57" s="223"/>
      <c r="K57" s="267"/>
      <c r="L57" s="247"/>
      <c r="M57" s="380"/>
      <c r="N57" s="323"/>
      <c r="O57" s="382"/>
      <c r="P57" s="384"/>
    </row>
    <row r="58" spans="2:16" ht="38.299999999999997" hidden="1" customHeight="1" thickBot="1" x14ac:dyDescent="0.3">
      <c r="B58" s="328"/>
      <c r="C58" s="334"/>
      <c r="D58" s="221"/>
      <c r="E58" s="290"/>
      <c r="F58" s="224"/>
      <c r="G58" s="155">
        <v>8</v>
      </c>
      <c r="H58" s="155"/>
      <c r="I58" s="207"/>
      <c r="J58" s="224"/>
      <c r="K58" s="268"/>
      <c r="L58" s="247"/>
      <c r="M58" s="380"/>
      <c r="N58" s="323"/>
      <c r="O58" s="382"/>
      <c r="P58" s="384"/>
    </row>
    <row r="59" spans="2:16" ht="27.1" customHeight="1" x14ac:dyDescent="0.25">
      <c r="B59" s="326" t="str">
        <f>+LEFT(C59,3)</f>
        <v>7.3</v>
      </c>
      <c r="C59" s="332" t="s">
        <v>187</v>
      </c>
      <c r="D59" s="219" t="s">
        <v>186</v>
      </c>
      <c r="E59" s="288" t="s">
        <v>426</v>
      </c>
      <c r="F59" s="222">
        <v>2</v>
      </c>
      <c r="G59" s="153">
        <v>1</v>
      </c>
      <c r="H59" s="153"/>
      <c r="I59" s="205" t="s">
        <v>425</v>
      </c>
      <c r="J59" s="222">
        <v>2</v>
      </c>
      <c r="K59" s="266" t="str">
        <f t="shared" si="6"/>
        <v>Deficiencia de control (diseño o ejecución)</v>
      </c>
      <c r="L59" s="247">
        <f t="shared" si="7"/>
        <v>100</v>
      </c>
      <c r="M59" s="380">
        <v>2.2364999999999999</v>
      </c>
      <c r="N59" s="323">
        <f t="shared" si="8"/>
        <v>102.23650000000001</v>
      </c>
      <c r="O59" s="382"/>
      <c r="P59" s="384"/>
    </row>
    <row r="60" spans="2:16" ht="27.1" customHeight="1" x14ac:dyDescent="0.25">
      <c r="B60" s="327"/>
      <c r="C60" s="333"/>
      <c r="D60" s="220"/>
      <c r="E60" s="289"/>
      <c r="F60" s="223"/>
      <c r="G60" s="154">
        <v>2</v>
      </c>
      <c r="H60" s="156" t="s">
        <v>405</v>
      </c>
      <c r="I60" s="206"/>
      <c r="J60" s="223"/>
      <c r="K60" s="267"/>
      <c r="L60" s="247"/>
      <c r="M60" s="380"/>
      <c r="N60" s="323"/>
      <c r="O60" s="382"/>
      <c r="P60" s="384"/>
    </row>
    <row r="61" spans="2:16" ht="27.1" customHeight="1" x14ac:dyDescent="0.25">
      <c r="B61" s="327"/>
      <c r="C61" s="333"/>
      <c r="D61" s="220"/>
      <c r="E61" s="289"/>
      <c r="F61" s="223"/>
      <c r="G61" s="154">
        <v>3</v>
      </c>
      <c r="H61" s="154"/>
      <c r="I61" s="206"/>
      <c r="J61" s="223"/>
      <c r="K61" s="267"/>
      <c r="L61" s="247"/>
      <c r="M61" s="380"/>
      <c r="N61" s="323"/>
      <c r="O61" s="382"/>
      <c r="P61" s="384"/>
    </row>
    <row r="62" spans="2:16" ht="27.1" customHeight="1" x14ac:dyDescent="0.25">
      <c r="B62" s="327"/>
      <c r="C62" s="333"/>
      <c r="D62" s="220"/>
      <c r="E62" s="289"/>
      <c r="F62" s="223"/>
      <c r="G62" s="154">
        <v>4</v>
      </c>
      <c r="H62" s="154"/>
      <c r="I62" s="206"/>
      <c r="J62" s="223"/>
      <c r="K62" s="267"/>
      <c r="L62" s="247"/>
      <c r="M62" s="380"/>
      <c r="N62" s="323"/>
      <c r="O62" s="382"/>
      <c r="P62" s="384"/>
    </row>
    <row r="63" spans="2:16" ht="27.1" customHeight="1" x14ac:dyDescent="0.25">
      <c r="B63" s="327"/>
      <c r="C63" s="333"/>
      <c r="D63" s="220"/>
      <c r="E63" s="289"/>
      <c r="F63" s="223"/>
      <c r="G63" s="154">
        <v>5</v>
      </c>
      <c r="H63" s="154"/>
      <c r="I63" s="206"/>
      <c r="J63" s="223"/>
      <c r="K63" s="267"/>
      <c r="L63" s="247"/>
      <c r="M63" s="380"/>
      <c r="N63" s="323"/>
      <c r="O63" s="382"/>
      <c r="P63" s="384"/>
    </row>
    <row r="64" spans="2:16" ht="27.1" customHeight="1" x14ac:dyDescent="0.25">
      <c r="B64" s="327"/>
      <c r="C64" s="333"/>
      <c r="D64" s="220"/>
      <c r="E64" s="289"/>
      <c r="F64" s="223"/>
      <c r="G64" s="154">
        <v>6</v>
      </c>
      <c r="H64" s="154"/>
      <c r="I64" s="206"/>
      <c r="J64" s="223"/>
      <c r="K64" s="267"/>
      <c r="L64" s="247"/>
      <c r="M64" s="380"/>
      <c r="N64" s="323"/>
      <c r="O64" s="382"/>
      <c r="P64" s="384"/>
    </row>
    <row r="65" spans="2:16" ht="27.1" customHeight="1" x14ac:dyDescent="0.25">
      <c r="B65" s="327"/>
      <c r="C65" s="333"/>
      <c r="D65" s="220"/>
      <c r="E65" s="289"/>
      <c r="F65" s="223"/>
      <c r="G65" s="154">
        <v>7</v>
      </c>
      <c r="H65" s="154"/>
      <c r="I65" s="206"/>
      <c r="J65" s="223"/>
      <c r="K65" s="267"/>
      <c r="L65" s="247"/>
      <c r="M65" s="380"/>
      <c r="N65" s="323"/>
      <c r="O65" s="382"/>
      <c r="P65" s="384"/>
    </row>
    <row r="66" spans="2:16" ht="27.1" customHeight="1" thickBot="1" x14ac:dyDescent="0.3">
      <c r="B66" s="328"/>
      <c r="C66" s="334"/>
      <c r="D66" s="221"/>
      <c r="E66" s="290"/>
      <c r="F66" s="224"/>
      <c r="G66" s="155">
        <v>8</v>
      </c>
      <c r="H66" s="155"/>
      <c r="I66" s="207"/>
      <c r="J66" s="224"/>
      <c r="K66" s="268"/>
      <c r="L66" s="247"/>
      <c r="M66" s="380"/>
      <c r="N66" s="323"/>
      <c r="O66" s="382"/>
      <c r="P66" s="384"/>
    </row>
    <row r="67" spans="2:16" ht="27.1" customHeight="1" x14ac:dyDescent="0.25">
      <c r="B67" s="326" t="str">
        <f>+LEFT(C67,3)</f>
        <v>7.4</v>
      </c>
      <c r="C67" s="332" t="s">
        <v>188</v>
      </c>
      <c r="D67" s="219" t="s">
        <v>189</v>
      </c>
      <c r="E67" s="288" t="s">
        <v>427</v>
      </c>
      <c r="F67" s="222">
        <v>1</v>
      </c>
      <c r="G67" s="153">
        <v>1</v>
      </c>
      <c r="H67" s="153"/>
      <c r="I67" s="202" t="s">
        <v>450</v>
      </c>
      <c r="J67" s="222">
        <v>1</v>
      </c>
      <c r="K67" s="266" t="str">
        <f t="shared" si="6"/>
        <v>Deficiencia de control mayor (diseño y ejecución)</v>
      </c>
      <c r="L67" s="247">
        <f t="shared" si="7"/>
        <v>80</v>
      </c>
      <c r="M67" s="380">
        <v>2.3896000000000002</v>
      </c>
      <c r="N67" s="323">
        <f t="shared" si="8"/>
        <v>82.389600000000002</v>
      </c>
      <c r="O67" s="382"/>
      <c r="P67" s="384"/>
    </row>
    <row r="68" spans="2:16" ht="27.1" customHeight="1" x14ac:dyDescent="0.25">
      <c r="B68" s="327"/>
      <c r="C68" s="333"/>
      <c r="D68" s="220"/>
      <c r="E68" s="289"/>
      <c r="F68" s="223"/>
      <c r="G68" s="154">
        <v>2</v>
      </c>
      <c r="H68" s="154"/>
      <c r="I68" s="203"/>
      <c r="J68" s="223"/>
      <c r="K68" s="267"/>
      <c r="L68" s="247"/>
      <c r="M68" s="380"/>
      <c r="N68" s="323"/>
      <c r="O68" s="382"/>
      <c r="P68" s="384"/>
    </row>
    <row r="69" spans="2:16" ht="27.1" customHeight="1" x14ac:dyDescent="0.25">
      <c r="B69" s="327"/>
      <c r="C69" s="333"/>
      <c r="D69" s="220"/>
      <c r="E69" s="289"/>
      <c r="F69" s="223"/>
      <c r="G69" s="154">
        <v>3</v>
      </c>
      <c r="H69" s="154"/>
      <c r="I69" s="203"/>
      <c r="J69" s="223"/>
      <c r="K69" s="267"/>
      <c r="L69" s="247"/>
      <c r="M69" s="380"/>
      <c r="N69" s="323"/>
      <c r="O69" s="382"/>
      <c r="P69" s="384"/>
    </row>
    <row r="70" spans="2:16" ht="27.1" customHeight="1" x14ac:dyDescent="0.25">
      <c r="B70" s="327"/>
      <c r="C70" s="333"/>
      <c r="D70" s="220"/>
      <c r="E70" s="289"/>
      <c r="F70" s="223"/>
      <c r="G70" s="154">
        <v>4</v>
      </c>
      <c r="H70" s="154"/>
      <c r="I70" s="203"/>
      <c r="J70" s="223"/>
      <c r="K70" s="267"/>
      <c r="L70" s="247"/>
      <c r="M70" s="380"/>
      <c r="N70" s="323"/>
      <c r="O70" s="382"/>
      <c r="P70" s="384"/>
    </row>
    <row r="71" spans="2:16" ht="27.1" customHeight="1" x14ac:dyDescent="0.25">
      <c r="B71" s="327"/>
      <c r="C71" s="333"/>
      <c r="D71" s="220"/>
      <c r="E71" s="289"/>
      <c r="F71" s="223"/>
      <c r="G71" s="154">
        <v>5</v>
      </c>
      <c r="H71" s="154"/>
      <c r="I71" s="203"/>
      <c r="J71" s="223"/>
      <c r="K71" s="267"/>
      <c r="L71" s="247"/>
      <c r="M71" s="380"/>
      <c r="N71" s="323"/>
      <c r="O71" s="382"/>
      <c r="P71" s="384"/>
    </row>
    <row r="72" spans="2:16" ht="27.1" customHeight="1" x14ac:dyDescent="0.25">
      <c r="B72" s="327"/>
      <c r="C72" s="333"/>
      <c r="D72" s="220"/>
      <c r="E72" s="289"/>
      <c r="F72" s="223"/>
      <c r="G72" s="154">
        <v>6</v>
      </c>
      <c r="H72" s="154"/>
      <c r="I72" s="203"/>
      <c r="J72" s="223"/>
      <c r="K72" s="267"/>
      <c r="L72" s="247"/>
      <c r="M72" s="380"/>
      <c r="N72" s="323"/>
      <c r="O72" s="382"/>
      <c r="P72" s="384"/>
    </row>
    <row r="73" spans="2:16" ht="27.1" customHeight="1" x14ac:dyDescent="0.25">
      <c r="B73" s="327"/>
      <c r="C73" s="333"/>
      <c r="D73" s="220"/>
      <c r="E73" s="289"/>
      <c r="F73" s="223"/>
      <c r="G73" s="154">
        <v>7</v>
      </c>
      <c r="H73" s="154"/>
      <c r="I73" s="203"/>
      <c r="J73" s="223"/>
      <c r="K73" s="267"/>
      <c r="L73" s="247"/>
      <c r="M73" s="380"/>
      <c r="N73" s="323"/>
      <c r="O73" s="382"/>
      <c r="P73" s="384"/>
    </row>
    <row r="74" spans="2:16" ht="27.1" customHeight="1" thickBot="1" x14ac:dyDescent="0.3">
      <c r="B74" s="328"/>
      <c r="C74" s="334"/>
      <c r="D74" s="221"/>
      <c r="E74" s="290"/>
      <c r="F74" s="224"/>
      <c r="G74" s="155">
        <v>8</v>
      </c>
      <c r="H74" s="155"/>
      <c r="I74" s="204"/>
      <c r="J74" s="224"/>
      <c r="K74" s="268"/>
      <c r="L74" s="247"/>
      <c r="M74" s="380"/>
      <c r="N74" s="323"/>
      <c r="O74" s="382"/>
      <c r="P74" s="384"/>
    </row>
    <row r="75" spans="2:16" ht="27.8" customHeight="1" x14ac:dyDescent="0.25">
      <c r="B75" s="326" t="str">
        <f>+LEFT(C75,3)</f>
        <v>7.5</v>
      </c>
      <c r="C75" s="332" t="s">
        <v>190</v>
      </c>
      <c r="D75" s="219" t="s">
        <v>191</v>
      </c>
      <c r="E75" s="288" t="s">
        <v>427</v>
      </c>
      <c r="F75" s="222">
        <v>1</v>
      </c>
      <c r="G75" s="153">
        <v>1</v>
      </c>
      <c r="H75" s="153"/>
      <c r="I75" s="202" t="s">
        <v>428</v>
      </c>
      <c r="J75" s="222">
        <v>3</v>
      </c>
      <c r="K75" s="266" t="str">
        <f t="shared" si="6"/>
        <v>Deficiencia de control mayor (diseño y ejecución)</v>
      </c>
      <c r="L75" s="247">
        <f t="shared" si="7"/>
        <v>80</v>
      </c>
      <c r="M75" s="380">
        <v>2.4563000000000001</v>
      </c>
      <c r="N75" s="323">
        <f t="shared" si="8"/>
        <v>82.456299999999999</v>
      </c>
      <c r="O75" s="382"/>
      <c r="P75" s="384"/>
    </row>
    <row r="76" spans="2:16" ht="27.8" customHeight="1" x14ac:dyDescent="0.25">
      <c r="B76" s="327"/>
      <c r="C76" s="333"/>
      <c r="D76" s="220"/>
      <c r="E76" s="289"/>
      <c r="F76" s="223"/>
      <c r="G76" s="154">
        <v>2</v>
      </c>
      <c r="H76" s="154"/>
      <c r="I76" s="203"/>
      <c r="J76" s="223"/>
      <c r="K76" s="267"/>
      <c r="L76" s="247"/>
      <c r="M76" s="380"/>
      <c r="N76" s="323"/>
      <c r="O76" s="382"/>
      <c r="P76" s="384"/>
    </row>
    <row r="77" spans="2:16" ht="27.8" customHeight="1" x14ac:dyDescent="0.25">
      <c r="B77" s="327"/>
      <c r="C77" s="333"/>
      <c r="D77" s="220"/>
      <c r="E77" s="289"/>
      <c r="F77" s="223"/>
      <c r="G77" s="154">
        <v>3</v>
      </c>
      <c r="H77" s="154"/>
      <c r="I77" s="203"/>
      <c r="J77" s="223"/>
      <c r="K77" s="267"/>
      <c r="L77" s="247"/>
      <c r="M77" s="380"/>
      <c r="N77" s="323"/>
      <c r="O77" s="382"/>
      <c r="P77" s="384"/>
    </row>
    <row r="78" spans="2:16" ht="27.8" customHeight="1" x14ac:dyDescent="0.25">
      <c r="B78" s="327"/>
      <c r="C78" s="333"/>
      <c r="D78" s="220"/>
      <c r="E78" s="289"/>
      <c r="F78" s="223"/>
      <c r="G78" s="154">
        <v>4</v>
      </c>
      <c r="H78" s="154"/>
      <c r="I78" s="203"/>
      <c r="J78" s="223"/>
      <c r="K78" s="267"/>
      <c r="L78" s="247"/>
      <c r="M78" s="380"/>
      <c r="N78" s="323"/>
      <c r="O78" s="382"/>
      <c r="P78" s="384"/>
    </row>
    <row r="79" spans="2:16" ht="27.8" customHeight="1" x14ac:dyDescent="0.25">
      <c r="B79" s="327"/>
      <c r="C79" s="333"/>
      <c r="D79" s="220"/>
      <c r="E79" s="289"/>
      <c r="F79" s="223"/>
      <c r="G79" s="154">
        <v>5</v>
      </c>
      <c r="H79" s="154"/>
      <c r="I79" s="203"/>
      <c r="J79" s="223"/>
      <c r="K79" s="267"/>
      <c r="L79" s="247"/>
      <c r="M79" s="380"/>
      <c r="N79" s="323"/>
      <c r="O79" s="382"/>
      <c r="P79" s="384"/>
    </row>
    <row r="80" spans="2:16" ht="27.8" customHeight="1" x14ac:dyDescent="0.25">
      <c r="B80" s="327"/>
      <c r="C80" s="333"/>
      <c r="D80" s="220"/>
      <c r="E80" s="289"/>
      <c r="F80" s="223"/>
      <c r="G80" s="154">
        <v>6</v>
      </c>
      <c r="H80" s="154"/>
      <c r="I80" s="203"/>
      <c r="J80" s="223"/>
      <c r="K80" s="267"/>
      <c r="L80" s="247"/>
      <c r="M80" s="380"/>
      <c r="N80" s="323"/>
      <c r="O80" s="382"/>
      <c r="P80" s="384"/>
    </row>
    <row r="81" spans="2:16" ht="27.8" customHeight="1" x14ac:dyDescent="0.25">
      <c r="B81" s="327"/>
      <c r="C81" s="333"/>
      <c r="D81" s="220"/>
      <c r="E81" s="289"/>
      <c r="F81" s="223"/>
      <c r="G81" s="154">
        <v>7</v>
      </c>
      <c r="H81" s="154"/>
      <c r="I81" s="203"/>
      <c r="J81" s="223"/>
      <c r="K81" s="267"/>
      <c r="L81" s="247"/>
      <c r="M81" s="380"/>
      <c r="N81" s="323"/>
      <c r="O81" s="382"/>
      <c r="P81" s="384"/>
    </row>
    <row r="82" spans="2:16" ht="27.8" customHeight="1" thickBot="1" x14ac:dyDescent="0.3">
      <c r="B82" s="328"/>
      <c r="C82" s="334"/>
      <c r="D82" s="221"/>
      <c r="E82" s="290"/>
      <c r="F82" s="224"/>
      <c r="G82" s="155">
        <v>8</v>
      </c>
      <c r="H82" s="155"/>
      <c r="I82" s="204"/>
      <c r="J82" s="224"/>
      <c r="K82" s="268"/>
      <c r="L82" s="247"/>
      <c r="M82" s="380"/>
      <c r="N82" s="323"/>
      <c r="O82" s="382"/>
      <c r="P82" s="384"/>
    </row>
    <row r="83" spans="2:16" ht="22.5" customHeight="1" x14ac:dyDescent="0.25">
      <c r="B83" s="341"/>
      <c r="C83" s="341" t="s">
        <v>192</v>
      </c>
      <c r="D83" s="349" t="s">
        <v>8</v>
      </c>
      <c r="E83" s="370" t="s">
        <v>174</v>
      </c>
      <c r="F83" s="357" t="s">
        <v>175</v>
      </c>
      <c r="G83" s="363" t="s">
        <v>116</v>
      </c>
      <c r="H83" s="364"/>
      <c r="I83" s="364"/>
      <c r="J83" s="357" t="s">
        <v>176</v>
      </c>
      <c r="K83" s="345" t="s">
        <v>136</v>
      </c>
      <c r="L83" s="378"/>
      <c r="M83" s="378"/>
      <c r="N83" s="324"/>
      <c r="O83" s="381"/>
      <c r="P83" s="383"/>
    </row>
    <row r="84" spans="2:16" ht="22.5" customHeight="1" x14ac:dyDescent="0.25">
      <c r="B84" s="342"/>
      <c r="C84" s="342"/>
      <c r="D84" s="351"/>
      <c r="E84" s="374"/>
      <c r="F84" s="357"/>
      <c r="G84" s="361" t="s">
        <v>13</v>
      </c>
      <c r="H84" s="359" t="s">
        <v>15</v>
      </c>
      <c r="I84" s="359" t="s">
        <v>17</v>
      </c>
      <c r="J84" s="357"/>
      <c r="K84" s="345"/>
      <c r="L84" s="378"/>
      <c r="M84" s="378"/>
      <c r="N84" s="324"/>
      <c r="O84" s="381"/>
      <c r="P84" s="383"/>
    </row>
    <row r="85" spans="2:16" ht="72" customHeight="1" thickBot="1" x14ac:dyDescent="0.3">
      <c r="B85" s="343"/>
      <c r="C85" s="343"/>
      <c r="D85" s="352"/>
      <c r="E85" s="375"/>
      <c r="F85" s="358"/>
      <c r="G85" s="362"/>
      <c r="H85" s="360"/>
      <c r="I85" s="360"/>
      <c r="J85" s="358"/>
      <c r="K85" s="346"/>
      <c r="L85" s="378"/>
      <c r="M85" s="378"/>
      <c r="N85" s="324"/>
      <c r="O85" s="381"/>
      <c r="P85" s="383"/>
    </row>
    <row r="86" spans="2:16" ht="28.55" customHeight="1" x14ac:dyDescent="0.25">
      <c r="B86" s="326" t="str">
        <f>+LEFT(C86,3)</f>
        <v>8.1</v>
      </c>
      <c r="C86" s="332" t="s">
        <v>193</v>
      </c>
      <c r="D86" s="219" t="s">
        <v>178</v>
      </c>
      <c r="E86" s="288" t="s">
        <v>430</v>
      </c>
      <c r="F86" s="222">
        <v>2</v>
      </c>
      <c r="G86" s="153">
        <v>1</v>
      </c>
      <c r="H86" s="153"/>
      <c r="I86" s="205" t="s">
        <v>431</v>
      </c>
      <c r="J86" s="288">
        <v>2</v>
      </c>
      <c r="K86" s="266" t="str">
        <f t="shared" ref="K86:K110" si="9">+IF(OR(ISBLANK(F86),ISBLANK(J86)),"",IF(OR(AND(F86=1,J86=1),AND(F86=1,J86=2),AND(F86=1,J86=3)),"Deficiencia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247">
        <f t="shared" ref="L86:L110" si="10">+IF(K86="",75,IF(K86="Deficiencia de control mayor (diseño y ejecución)",80,IF(K86="Deficiencia de control (diseño o ejecución)",100,IF(K86="Oportunidad de mejora",120,140))))</f>
        <v>100</v>
      </c>
      <c r="M86" s="380">
        <v>2.5457999999999998</v>
      </c>
      <c r="N86" s="323">
        <f t="shared" ref="N86:N110" si="11">+L86+M86</f>
        <v>102.5458</v>
      </c>
      <c r="O86" s="382"/>
      <c r="P86" s="384"/>
    </row>
    <row r="87" spans="2:16" ht="28.55" customHeight="1" x14ac:dyDescent="0.25">
      <c r="B87" s="327"/>
      <c r="C87" s="333"/>
      <c r="D87" s="220"/>
      <c r="E87" s="289"/>
      <c r="F87" s="223"/>
      <c r="G87" s="154">
        <v>2</v>
      </c>
      <c r="H87" s="154"/>
      <c r="I87" s="206"/>
      <c r="J87" s="289"/>
      <c r="K87" s="267"/>
      <c r="L87" s="247"/>
      <c r="M87" s="380"/>
      <c r="N87" s="323"/>
      <c r="O87" s="382"/>
      <c r="P87" s="384"/>
    </row>
    <row r="88" spans="2:16" ht="28.55" customHeight="1" x14ac:dyDescent="0.25">
      <c r="B88" s="327"/>
      <c r="C88" s="333"/>
      <c r="D88" s="220"/>
      <c r="E88" s="289"/>
      <c r="F88" s="223"/>
      <c r="G88" s="154">
        <v>3</v>
      </c>
      <c r="H88" s="154"/>
      <c r="I88" s="206"/>
      <c r="J88" s="289"/>
      <c r="K88" s="267"/>
      <c r="L88" s="247"/>
      <c r="M88" s="380"/>
      <c r="N88" s="323"/>
      <c r="O88" s="382"/>
      <c r="P88" s="384"/>
    </row>
    <row r="89" spans="2:16" ht="28.55" customHeight="1" x14ac:dyDescent="0.25">
      <c r="B89" s="327"/>
      <c r="C89" s="333"/>
      <c r="D89" s="220"/>
      <c r="E89" s="289"/>
      <c r="F89" s="223"/>
      <c r="G89" s="154">
        <v>4</v>
      </c>
      <c r="H89" s="154"/>
      <c r="I89" s="206"/>
      <c r="J89" s="289"/>
      <c r="K89" s="267"/>
      <c r="L89" s="247"/>
      <c r="M89" s="380"/>
      <c r="N89" s="323"/>
      <c r="O89" s="382"/>
      <c r="P89" s="384"/>
    </row>
    <row r="90" spans="2:16" ht="63.1" customHeight="1" x14ac:dyDescent="0.25">
      <c r="B90" s="327"/>
      <c r="C90" s="333"/>
      <c r="D90" s="220"/>
      <c r="E90" s="289"/>
      <c r="F90" s="223"/>
      <c r="G90" s="154">
        <v>5</v>
      </c>
      <c r="H90" s="156" t="s">
        <v>429</v>
      </c>
      <c r="I90" s="206"/>
      <c r="J90" s="289"/>
      <c r="K90" s="267"/>
      <c r="L90" s="247"/>
      <c r="M90" s="380"/>
      <c r="N90" s="323"/>
      <c r="O90" s="382"/>
      <c r="P90" s="384"/>
    </row>
    <row r="91" spans="2:16" ht="28.55" customHeight="1" x14ac:dyDescent="0.25">
      <c r="B91" s="327"/>
      <c r="C91" s="333"/>
      <c r="D91" s="220"/>
      <c r="E91" s="289"/>
      <c r="F91" s="223"/>
      <c r="G91" s="154">
        <v>6</v>
      </c>
      <c r="H91" s="154"/>
      <c r="I91" s="206"/>
      <c r="J91" s="289"/>
      <c r="K91" s="267"/>
      <c r="L91" s="247"/>
      <c r="M91" s="380"/>
      <c r="N91" s="323"/>
      <c r="O91" s="382"/>
      <c r="P91" s="384"/>
    </row>
    <row r="92" spans="2:16" ht="28.55" customHeight="1" x14ac:dyDescent="0.25">
      <c r="B92" s="327"/>
      <c r="C92" s="333"/>
      <c r="D92" s="220"/>
      <c r="E92" s="289"/>
      <c r="F92" s="223"/>
      <c r="G92" s="154">
        <v>7</v>
      </c>
      <c r="H92" s="154"/>
      <c r="I92" s="206"/>
      <c r="J92" s="289"/>
      <c r="K92" s="267"/>
      <c r="L92" s="247"/>
      <c r="M92" s="380"/>
      <c r="N92" s="323"/>
      <c r="O92" s="382"/>
      <c r="P92" s="384"/>
    </row>
    <row r="93" spans="2:16" ht="28.55" customHeight="1" thickBot="1" x14ac:dyDescent="0.3">
      <c r="B93" s="328"/>
      <c r="C93" s="334"/>
      <c r="D93" s="221"/>
      <c r="E93" s="290"/>
      <c r="F93" s="224"/>
      <c r="G93" s="155">
        <v>8</v>
      </c>
      <c r="H93" s="155"/>
      <c r="I93" s="207"/>
      <c r="J93" s="290"/>
      <c r="K93" s="268"/>
      <c r="L93" s="247"/>
      <c r="M93" s="380"/>
      <c r="N93" s="323"/>
      <c r="O93" s="382"/>
      <c r="P93" s="384"/>
    </row>
    <row r="94" spans="2:16" ht="28.55" customHeight="1" x14ac:dyDescent="0.25">
      <c r="B94" s="326" t="str">
        <f>+LEFT(C94,3)</f>
        <v>8.2</v>
      </c>
      <c r="C94" s="332" t="s">
        <v>194</v>
      </c>
      <c r="D94" s="219" t="s">
        <v>195</v>
      </c>
      <c r="E94" s="288" t="s">
        <v>432</v>
      </c>
      <c r="F94" s="222">
        <v>2</v>
      </c>
      <c r="G94" s="153">
        <v>1</v>
      </c>
      <c r="H94" s="153"/>
      <c r="I94" s="205" t="s">
        <v>425</v>
      </c>
      <c r="J94" s="222">
        <v>2</v>
      </c>
      <c r="K94" s="266" t="str">
        <f t="shared" si="9"/>
        <v>Deficiencia de control (diseño o ejecución)</v>
      </c>
      <c r="L94" s="247">
        <f t="shared" si="10"/>
        <v>100</v>
      </c>
      <c r="M94" s="380">
        <v>2.6320999999999999</v>
      </c>
      <c r="N94" s="323">
        <f t="shared" si="11"/>
        <v>102.63209999999999</v>
      </c>
      <c r="O94" s="382"/>
      <c r="P94" s="384"/>
    </row>
    <row r="95" spans="2:16" ht="28.55" customHeight="1" x14ac:dyDescent="0.25">
      <c r="B95" s="327"/>
      <c r="C95" s="333"/>
      <c r="D95" s="220"/>
      <c r="E95" s="289"/>
      <c r="F95" s="223"/>
      <c r="G95" s="154">
        <v>2</v>
      </c>
      <c r="H95" s="154" t="s">
        <v>433</v>
      </c>
      <c r="I95" s="206"/>
      <c r="J95" s="223"/>
      <c r="K95" s="267"/>
      <c r="L95" s="247"/>
      <c r="M95" s="380"/>
      <c r="N95" s="323"/>
      <c r="O95" s="382"/>
      <c r="P95" s="384"/>
    </row>
    <row r="96" spans="2:16" ht="28.55" customHeight="1" x14ac:dyDescent="0.25">
      <c r="B96" s="327"/>
      <c r="C96" s="333"/>
      <c r="D96" s="220"/>
      <c r="E96" s="289"/>
      <c r="F96" s="223"/>
      <c r="G96" s="154">
        <v>3</v>
      </c>
      <c r="H96" s="154"/>
      <c r="I96" s="206"/>
      <c r="J96" s="223"/>
      <c r="K96" s="267"/>
      <c r="L96" s="247"/>
      <c r="M96" s="380"/>
      <c r="N96" s="323"/>
      <c r="O96" s="382"/>
      <c r="P96" s="384"/>
    </row>
    <row r="97" spans="2:16" ht="28.55" customHeight="1" x14ac:dyDescent="0.25">
      <c r="B97" s="327"/>
      <c r="C97" s="333"/>
      <c r="D97" s="220"/>
      <c r="E97" s="289"/>
      <c r="F97" s="223"/>
      <c r="G97" s="154">
        <v>4</v>
      </c>
      <c r="H97" s="154"/>
      <c r="I97" s="206"/>
      <c r="J97" s="223"/>
      <c r="K97" s="267"/>
      <c r="L97" s="247"/>
      <c r="M97" s="380"/>
      <c r="N97" s="323"/>
      <c r="O97" s="382"/>
      <c r="P97" s="384"/>
    </row>
    <row r="98" spans="2:16" ht="28.55" customHeight="1" x14ac:dyDescent="0.25">
      <c r="B98" s="327"/>
      <c r="C98" s="333"/>
      <c r="D98" s="220"/>
      <c r="E98" s="289"/>
      <c r="F98" s="223"/>
      <c r="G98" s="154">
        <v>5</v>
      </c>
      <c r="H98" s="154"/>
      <c r="I98" s="206"/>
      <c r="J98" s="223"/>
      <c r="K98" s="267"/>
      <c r="L98" s="247"/>
      <c r="M98" s="380"/>
      <c r="N98" s="323"/>
      <c r="O98" s="382"/>
      <c r="P98" s="384"/>
    </row>
    <row r="99" spans="2:16" ht="28.55" customHeight="1" x14ac:dyDescent="0.25">
      <c r="B99" s="327"/>
      <c r="C99" s="333"/>
      <c r="D99" s="220"/>
      <c r="E99" s="289"/>
      <c r="F99" s="223"/>
      <c r="G99" s="154">
        <v>6</v>
      </c>
      <c r="H99" s="154"/>
      <c r="I99" s="206"/>
      <c r="J99" s="223"/>
      <c r="K99" s="267"/>
      <c r="L99" s="247"/>
      <c r="M99" s="380"/>
      <c r="N99" s="323"/>
      <c r="O99" s="382"/>
      <c r="P99" s="384"/>
    </row>
    <row r="100" spans="2:16" ht="28.55" customHeight="1" x14ac:dyDescent="0.25">
      <c r="B100" s="327"/>
      <c r="C100" s="333"/>
      <c r="D100" s="220"/>
      <c r="E100" s="289"/>
      <c r="F100" s="223"/>
      <c r="G100" s="154">
        <v>7</v>
      </c>
      <c r="H100" s="154"/>
      <c r="I100" s="206"/>
      <c r="J100" s="223"/>
      <c r="K100" s="267"/>
      <c r="L100" s="247"/>
      <c r="M100" s="380"/>
      <c r="N100" s="323"/>
      <c r="O100" s="382"/>
      <c r="P100" s="384"/>
    </row>
    <row r="101" spans="2:16" ht="28.55" customHeight="1" thickBot="1" x14ac:dyDescent="0.3">
      <c r="B101" s="328"/>
      <c r="C101" s="334"/>
      <c r="D101" s="221"/>
      <c r="E101" s="290"/>
      <c r="F101" s="224"/>
      <c r="G101" s="155">
        <v>8</v>
      </c>
      <c r="H101" s="155"/>
      <c r="I101" s="207"/>
      <c r="J101" s="224"/>
      <c r="K101" s="268"/>
      <c r="L101" s="247"/>
      <c r="M101" s="380"/>
      <c r="N101" s="323"/>
      <c r="O101" s="382"/>
      <c r="P101" s="384"/>
    </row>
    <row r="102" spans="2:16" ht="28.55" customHeight="1" x14ac:dyDescent="0.25">
      <c r="B102" s="326" t="str">
        <f>+LEFT(C102,3)</f>
        <v>8.3</v>
      </c>
      <c r="C102" s="332" t="s">
        <v>196</v>
      </c>
      <c r="D102" s="219" t="s">
        <v>197</v>
      </c>
      <c r="E102" s="288" t="s">
        <v>434</v>
      </c>
      <c r="F102" s="222">
        <v>2</v>
      </c>
      <c r="G102" s="153">
        <v>1</v>
      </c>
      <c r="H102" s="153"/>
      <c r="I102" s="205" t="s">
        <v>436</v>
      </c>
      <c r="J102" s="222">
        <v>2</v>
      </c>
      <c r="K102" s="266" t="str">
        <f t="shared" si="9"/>
        <v>Deficiencia de control (diseño o ejecución)</v>
      </c>
      <c r="L102" s="247">
        <f t="shared" si="10"/>
        <v>100</v>
      </c>
      <c r="M102" s="380">
        <v>2.7456</v>
      </c>
      <c r="N102" s="323">
        <f t="shared" si="11"/>
        <v>102.7456</v>
      </c>
      <c r="O102" s="382"/>
      <c r="P102" s="384"/>
    </row>
    <row r="103" spans="2:16" ht="28.55" customHeight="1" x14ac:dyDescent="0.25">
      <c r="B103" s="327"/>
      <c r="C103" s="333"/>
      <c r="D103" s="220"/>
      <c r="E103" s="289"/>
      <c r="F103" s="223"/>
      <c r="G103" s="154">
        <v>2</v>
      </c>
      <c r="H103" s="156" t="s">
        <v>435</v>
      </c>
      <c r="I103" s="206"/>
      <c r="J103" s="223"/>
      <c r="K103" s="267"/>
      <c r="L103" s="247"/>
      <c r="M103" s="380"/>
      <c r="N103" s="323"/>
      <c r="O103" s="382"/>
      <c r="P103" s="384"/>
    </row>
    <row r="104" spans="2:16" ht="28.55" customHeight="1" x14ac:dyDescent="0.25">
      <c r="B104" s="327"/>
      <c r="C104" s="333"/>
      <c r="D104" s="220"/>
      <c r="E104" s="289"/>
      <c r="F104" s="223"/>
      <c r="G104" s="154">
        <v>3</v>
      </c>
      <c r="H104" s="154"/>
      <c r="I104" s="206"/>
      <c r="J104" s="223"/>
      <c r="K104" s="267"/>
      <c r="L104" s="247"/>
      <c r="M104" s="380"/>
      <c r="N104" s="323"/>
      <c r="O104" s="382"/>
      <c r="P104" s="384"/>
    </row>
    <row r="105" spans="2:16" ht="28.55" customHeight="1" x14ac:dyDescent="0.25">
      <c r="B105" s="327"/>
      <c r="C105" s="333"/>
      <c r="D105" s="220"/>
      <c r="E105" s="289"/>
      <c r="F105" s="223"/>
      <c r="G105" s="154">
        <v>4</v>
      </c>
      <c r="H105" s="154"/>
      <c r="I105" s="206"/>
      <c r="J105" s="223"/>
      <c r="K105" s="267"/>
      <c r="L105" s="247"/>
      <c r="M105" s="380"/>
      <c r="N105" s="323"/>
      <c r="O105" s="382"/>
      <c r="P105" s="384"/>
    </row>
    <row r="106" spans="2:16" ht="28.55" customHeight="1" x14ac:dyDescent="0.25">
      <c r="B106" s="327"/>
      <c r="C106" s="333"/>
      <c r="D106" s="220"/>
      <c r="E106" s="289"/>
      <c r="F106" s="223"/>
      <c r="G106" s="154">
        <v>5</v>
      </c>
      <c r="H106" s="154"/>
      <c r="I106" s="206"/>
      <c r="J106" s="223"/>
      <c r="K106" s="267"/>
      <c r="L106" s="247"/>
      <c r="M106" s="380"/>
      <c r="N106" s="323"/>
      <c r="O106" s="382"/>
      <c r="P106" s="384"/>
    </row>
    <row r="107" spans="2:16" ht="28.55" customHeight="1" x14ac:dyDescent="0.25">
      <c r="B107" s="327"/>
      <c r="C107" s="333"/>
      <c r="D107" s="220"/>
      <c r="E107" s="289"/>
      <c r="F107" s="223"/>
      <c r="G107" s="154">
        <v>6</v>
      </c>
      <c r="H107" s="154"/>
      <c r="I107" s="206"/>
      <c r="J107" s="223"/>
      <c r="K107" s="267"/>
      <c r="L107" s="247"/>
      <c r="M107" s="380"/>
      <c r="N107" s="323"/>
      <c r="O107" s="382"/>
      <c r="P107" s="384"/>
    </row>
    <row r="108" spans="2:16" ht="28.55" customHeight="1" x14ac:dyDescent="0.25">
      <c r="B108" s="327"/>
      <c r="C108" s="333"/>
      <c r="D108" s="220"/>
      <c r="E108" s="289"/>
      <c r="F108" s="223"/>
      <c r="G108" s="154">
        <v>7</v>
      </c>
      <c r="H108" s="154"/>
      <c r="I108" s="206"/>
      <c r="J108" s="223"/>
      <c r="K108" s="267"/>
      <c r="L108" s="247"/>
      <c r="M108" s="380"/>
      <c r="N108" s="323"/>
      <c r="O108" s="382"/>
      <c r="P108" s="384"/>
    </row>
    <row r="109" spans="2:16" ht="28.55" customHeight="1" thickBot="1" x14ac:dyDescent="0.3">
      <c r="B109" s="328"/>
      <c r="C109" s="334"/>
      <c r="D109" s="221"/>
      <c r="E109" s="290"/>
      <c r="F109" s="224"/>
      <c r="G109" s="155">
        <v>8</v>
      </c>
      <c r="H109" s="155"/>
      <c r="I109" s="207"/>
      <c r="J109" s="224"/>
      <c r="K109" s="268"/>
      <c r="L109" s="247"/>
      <c r="M109" s="380"/>
      <c r="N109" s="323"/>
      <c r="O109" s="382"/>
      <c r="P109" s="384"/>
    </row>
    <row r="110" spans="2:16" ht="29.95" customHeight="1" x14ac:dyDescent="0.25">
      <c r="B110" s="326" t="str">
        <f>+LEFT(C110,3)</f>
        <v>8.4</v>
      </c>
      <c r="C110" s="332" t="s">
        <v>198</v>
      </c>
      <c r="D110" s="219" t="s">
        <v>195</v>
      </c>
      <c r="E110" s="288" t="s">
        <v>437</v>
      </c>
      <c r="F110" s="222">
        <v>2</v>
      </c>
      <c r="G110" s="153">
        <v>1</v>
      </c>
      <c r="H110" s="153"/>
      <c r="I110" s="205" t="s">
        <v>438</v>
      </c>
      <c r="J110" s="222">
        <v>2</v>
      </c>
      <c r="K110" s="266" t="str">
        <f t="shared" si="9"/>
        <v>Deficiencia de control (diseño o ejecución)</v>
      </c>
      <c r="L110" s="247">
        <f t="shared" si="10"/>
        <v>100</v>
      </c>
      <c r="M110" s="380">
        <v>2.8744999999999998</v>
      </c>
      <c r="N110" s="323">
        <f t="shared" si="11"/>
        <v>102.8745</v>
      </c>
      <c r="O110" s="382"/>
      <c r="P110" s="384"/>
    </row>
    <row r="111" spans="2:16" ht="29.95" customHeight="1" x14ac:dyDescent="0.25">
      <c r="B111" s="327"/>
      <c r="C111" s="333"/>
      <c r="D111" s="220"/>
      <c r="E111" s="289"/>
      <c r="F111" s="223"/>
      <c r="G111" s="154">
        <v>2</v>
      </c>
      <c r="H111" s="156" t="s">
        <v>406</v>
      </c>
      <c r="I111" s="206"/>
      <c r="J111" s="223"/>
      <c r="K111" s="267"/>
      <c r="L111" s="247"/>
      <c r="M111" s="380"/>
      <c r="N111" s="323"/>
      <c r="O111" s="382"/>
      <c r="P111" s="384"/>
    </row>
    <row r="112" spans="2:16" ht="29.95" customHeight="1" x14ac:dyDescent="0.25">
      <c r="B112" s="327"/>
      <c r="C112" s="333"/>
      <c r="D112" s="220"/>
      <c r="E112" s="289"/>
      <c r="F112" s="223"/>
      <c r="G112" s="154">
        <v>3</v>
      </c>
      <c r="H112" s="154"/>
      <c r="I112" s="206"/>
      <c r="J112" s="223"/>
      <c r="K112" s="267"/>
      <c r="L112" s="247"/>
      <c r="M112" s="380"/>
      <c r="N112" s="323"/>
      <c r="O112" s="382"/>
      <c r="P112" s="384"/>
    </row>
    <row r="113" spans="2:16" ht="29.95" customHeight="1" x14ac:dyDescent="0.25">
      <c r="B113" s="327"/>
      <c r="C113" s="333"/>
      <c r="D113" s="220"/>
      <c r="E113" s="289"/>
      <c r="F113" s="223"/>
      <c r="G113" s="154">
        <v>4</v>
      </c>
      <c r="H113" s="154"/>
      <c r="I113" s="206"/>
      <c r="J113" s="223"/>
      <c r="K113" s="267"/>
      <c r="L113" s="247"/>
      <c r="M113" s="380"/>
      <c r="N113" s="323"/>
      <c r="O113" s="382"/>
      <c r="P113" s="384"/>
    </row>
    <row r="114" spans="2:16" ht="29.95" customHeight="1" x14ac:dyDescent="0.25">
      <c r="B114" s="327"/>
      <c r="C114" s="333"/>
      <c r="D114" s="220"/>
      <c r="E114" s="289"/>
      <c r="F114" s="223"/>
      <c r="G114" s="154">
        <v>5</v>
      </c>
      <c r="H114" s="154"/>
      <c r="I114" s="206"/>
      <c r="J114" s="223"/>
      <c r="K114" s="267"/>
      <c r="L114" s="247"/>
      <c r="M114" s="380"/>
      <c r="N114" s="323"/>
      <c r="O114" s="382"/>
      <c r="P114" s="384"/>
    </row>
    <row r="115" spans="2:16" ht="29.95" customHeight="1" x14ac:dyDescent="0.25">
      <c r="B115" s="327"/>
      <c r="C115" s="333"/>
      <c r="D115" s="220"/>
      <c r="E115" s="289"/>
      <c r="F115" s="223"/>
      <c r="G115" s="154">
        <v>6</v>
      </c>
      <c r="H115" s="154"/>
      <c r="I115" s="206"/>
      <c r="J115" s="223"/>
      <c r="K115" s="267"/>
      <c r="L115" s="247"/>
      <c r="M115" s="380"/>
      <c r="N115" s="323"/>
      <c r="O115" s="382"/>
      <c r="P115" s="384"/>
    </row>
    <row r="116" spans="2:16" ht="29.95" customHeight="1" x14ac:dyDescent="0.25">
      <c r="B116" s="327"/>
      <c r="C116" s="333"/>
      <c r="D116" s="220"/>
      <c r="E116" s="289"/>
      <c r="F116" s="223"/>
      <c r="G116" s="154">
        <v>7</v>
      </c>
      <c r="H116" s="154"/>
      <c r="I116" s="206"/>
      <c r="J116" s="223"/>
      <c r="K116" s="267"/>
      <c r="L116" s="247"/>
      <c r="M116" s="380"/>
      <c r="N116" s="323"/>
      <c r="O116" s="382"/>
      <c r="P116" s="384"/>
    </row>
    <row r="117" spans="2:16" ht="29.95" customHeight="1" thickBot="1" x14ac:dyDescent="0.3">
      <c r="B117" s="328"/>
      <c r="C117" s="334"/>
      <c r="D117" s="221"/>
      <c r="E117" s="290"/>
      <c r="F117" s="224"/>
      <c r="G117" s="155">
        <v>8</v>
      </c>
      <c r="H117" s="155"/>
      <c r="I117" s="207"/>
      <c r="J117" s="224"/>
      <c r="K117" s="268"/>
      <c r="L117" s="247"/>
      <c r="M117" s="380"/>
      <c r="N117" s="323"/>
      <c r="O117" s="382"/>
      <c r="P117" s="384"/>
    </row>
    <row r="118" spans="2:16" ht="22.5" customHeight="1" x14ac:dyDescent="0.25">
      <c r="B118" s="330"/>
      <c r="C118" s="330" t="s">
        <v>199</v>
      </c>
      <c r="D118" s="349" t="s">
        <v>8</v>
      </c>
      <c r="E118" s="370" t="s">
        <v>174</v>
      </c>
      <c r="F118" s="357" t="s">
        <v>175</v>
      </c>
      <c r="G118" s="363" t="s">
        <v>116</v>
      </c>
      <c r="H118" s="364"/>
      <c r="I118" s="364"/>
      <c r="J118" s="357" t="s">
        <v>176</v>
      </c>
      <c r="K118" s="345" t="s">
        <v>136</v>
      </c>
      <c r="L118" s="378"/>
      <c r="M118" s="378"/>
      <c r="N118" s="324"/>
      <c r="O118" s="381"/>
      <c r="P118" s="383"/>
    </row>
    <row r="119" spans="2:16" ht="22.5" customHeight="1" x14ac:dyDescent="0.25">
      <c r="B119" s="330"/>
      <c r="C119" s="330"/>
      <c r="D119" s="351"/>
      <c r="E119" s="374"/>
      <c r="F119" s="357"/>
      <c r="G119" s="361" t="s">
        <v>13</v>
      </c>
      <c r="H119" s="359" t="s">
        <v>15</v>
      </c>
      <c r="I119" s="359" t="s">
        <v>17</v>
      </c>
      <c r="J119" s="357"/>
      <c r="K119" s="345"/>
      <c r="L119" s="378"/>
      <c r="M119" s="378"/>
      <c r="N119" s="324"/>
      <c r="O119" s="381"/>
      <c r="P119" s="383"/>
    </row>
    <row r="120" spans="2:16" ht="78.8" customHeight="1" thickBot="1" x14ac:dyDescent="0.3">
      <c r="B120" s="331"/>
      <c r="C120" s="331"/>
      <c r="D120" s="352"/>
      <c r="E120" s="375"/>
      <c r="F120" s="358"/>
      <c r="G120" s="362"/>
      <c r="H120" s="360"/>
      <c r="I120" s="360"/>
      <c r="J120" s="358"/>
      <c r="K120" s="346"/>
      <c r="L120" s="378"/>
      <c r="M120" s="378"/>
      <c r="N120" s="324"/>
      <c r="O120" s="381"/>
      <c r="P120" s="383"/>
    </row>
    <row r="121" spans="2:16" ht="13.85" x14ac:dyDescent="0.25">
      <c r="B121" s="326" t="str">
        <f>+LEFT(C121,3)</f>
        <v>9.1</v>
      </c>
      <c r="C121" s="332" t="s">
        <v>200</v>
      </c>
      <c r="D121" s="219" t="s">
        <v>201</v>
      </c>
      <c r="E121" s="288" t="s">
        <v>434</v>
      </c>
      <c r="F121" s="222">
        <v>2</v>
      </c>
      <c r="G121" s="153">
        <v>1</v>
      </c>
      <c r="H121" s="153"/>
      <c r="I121" s="205" t="s">
        <v>436</v>
      </c>
      <c r="J121" s="222">
        <v>2</v>
      </c>
      <c r="K121" s="266" t="str">
        <f t="shared" ref="K121:K153" si="12">+IF(OR(ISBLANK(F121),ISBLANK(J121)),"",IF(OR(AND(F121=1,J121=1),AND(F121=1,J121=2),AND(F121=1,J121=3)),"Deficiencia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247">
        <f t="shared" ref="L121:L153" si="13">+IF(K121="",75,IF(K121="Deficiencia de control mayor (diseño y ejecución)",80,IF(K121="Deficiencia de control (diseño o ejecución)",100,IF(K121="Oportunidad de mejora",120,140))))</f>
        <v>100</v>
      </c>
      <c r="M121" s="380">
        <v>2.9634999999999998</v>
      </c>
      <c r="N121" s="323">
        <f t="shared" ref="N121:N153" si="14">+L121+M121</f>
        <v>102.9635</v>
      </c>
      <c r="O121" s="382"/>
      <c r="P121" s="384"/>
    </row>
    <row r="122" spans="2:16" ht="13.85" x14ac:dyDescent="0.25">
      <c r="B122" s="327"/>
      <c r="C122" s="333"/>
      <c r="D122" s="220"/>
      <c r="E122" s="289"/>
      <c r="F122" s="223"/>
      <c r="G122" s="154">
        <v>2</v>
      </c>
      <c r="H122" s="154"/>
      <c r="I122" s="206"/>
      <c r="J122" s="223"/>
      <c r="K122" s="267"/>
      <c r="L122" s="247"/>
      <c r="M122" s="380"/>
      <c r="N122" s="323"/>
      <c r="O122" s="382"/>
      <c r="P122" s="384"/>
    </row>
    <row r="123" spans="2:16" ht="39.75" customHeight="1" x14ac:dyDescent="0.25">
      <c r="B123" s="327"/>
      <c r="C123" s="333"/>
      <c r="D123" s="220"/>
      <c r="E123" s="289"/>
      <c r="F123" s="223"/>
      <c r="G123" s="154">
        <v>3</v>
      </c>
      <c r="H123" s="156" t="s">
        <v>435</v>
      </c>
      <c r="I123" s="206"/>
      <c r="J123" s="223"/>
      <c r="K123" s="267"/>
      <c r="L123" s="247"/>
      <c r="M123" s="380"/>
      <c r="N123" s="323"/>
      <c r="O123" s="382"/>
      <c r="P123" s="384"/>
    </row>
    <row r="124" spans="2:16" ht="13.85" x14ac:dyDescent="0.25">
      <c r="B124" s="327"/>
      <c r="C124" s="333"/>
      <c r="D124" s="220"/>
      <c r="E124" s="289"/>
      <c r="F124" s="223"/>
      <c r="G124" s="154">
        <v>4</v>
      </c>
      <c r="H124" s="154"/>
      <c r="I124" s="206"/>
      <c r="J124" s="223"/>
      <c r="K124" s="267"/>
      <c r="L124" s="247"/>
      <c r="M124" s="380"/>
      <c r="N124" s="323"/>
      <c r="O124" s="382"/>
      <c r="P124" s="384"/>
    </row>
    <row r="125" spans="2:16" ht="13.85" x14ac:dyDescent="0.25">
      <c r="B125" s="327"/>
      <c r="C125" s="333"/>
      <c r="D125" s="220"/>
      <c r="E125" s="289"/>
      <c r="F125" s="223"/>
      <c r="G125" s="154">
        <v>5</v>
      </c>
      <c r="H125" s="154"/>
      <c r="I125" s="206"/>
      <c r="J125" s="223"/>
      <c r="K125" s="267"/>
      <c r="L125" s="247"/>
      <c r="M125" s="380"/>
      <c r="N125" s="323"/>
      <c r="O125" s="382"/>
      <c r="P125" s="384"/>
    </row>
    <row r="126" spans="2:16" ht="13.85" x14ac:dyDescent="0.25">
      <c r="B126" s="327"/>
      <c r="C126" s="333"/>
      <c r="D126" s="220"/>
      <c r="E126" s="289"/>
      <c r="F126" s="223"/>
      <c r="G126" s="154">
        <v>6</v>
      </c>
      <c r="H126" s="154"/>
      <c r="I126" s="206"/>
      <c r="J126" s="223"/>
      <c r="K126" s="267"/>
      <c r="L126" s="247"/>
      <c r="M126" s="380"/>
      <c r="N126" s="323"/>
      <c r="O126" s="382"/>
      <c r="P126" s="384"/>
    </row>
    <row r="127" spans="2:16" ht="13.85" x14ac:dyDescent="0.25">
      <c r="B127" s="327"/>
      <c r="C127" s="333"/>
      <c r="D127" s="220"/>
      <c r="E127" s="289"/>
      <c r="F127" s="223"/>
      <c r="G127" s="154">
        <v>7</v>
      </c>
      <c r="H127" s="154"/>
      <c r="I127" s="206"/>
      <c r="J127" s="223"/>
      <c r="K127" s="267"/>
      <c r="L127" s="247"/>
      <c r="M127" s="380"/>
      <c r="N127" s="323"/>
      <c r="O127" s="382"/>
      <c r="P127" s="384"/>
    </row>
    <row r="128" spans="2:16" ht="14.4" thickBot="1" x14ac:dyDescent="0.3">
      <c r="B128" s="328"/>
      <c r="C128" s="334"/>
      <c r="D128" s="221"/>
      <c r="E128" s="290"/>
      <c r="F128" s="224"/>
      <c r="G128" s="155">
        <v>8</v>
      </c>
      <c r="H128" s="155"/>
      <c r="I128" s="207"/>
      <c r="J128" s="224"/>
      <c r="K128" s="268"/>
      <c r="L128" s="247"/>
      <c r="M128" s="380"/>
      <c r="N128" s="323"/>
      <c r="O128" s="382"/>
      <c r="P128" s="384"/>
    </row>
    <row r="129" spans="2:16" ht="22.5" customHeight="1" x14ac:dyDescent="0.25">
      <c r="B129" s="326" t="str">
        <f>+LEFT(C129,3)</f>
        <v>9.2</v>
      </c>
      <c r="C129" s="353" t="s">
        <v>202</v>
      </c>
      <c r="D129" s="219" t="s">
        <v>203</v>
      </c>
      <c r="E129" s="288" t="s">
        <v>439</v>
      </c>
      <c r="F129" s="222">
        <v>2</v>
      </c>
      <c r="G129" s="153">
        <v>1</v>
      </c>
      <c r="H129" s="153"/>
      <c r="I129" s="205" t="s">
        <v>441</v>
      </c>
      <c r="J129" s="222">
        <v>2</v>
      </c>
      <c r="K129" s="266" t="str">
        <f t="shared" si="12"/>
        <v>Deficiencia de control (diseño o ejecución)</v>
      </c>
      <c r="L129" s="247">
        <f t="shared" si="13"/>
        <v>100</v>
      </c>
      <c r="M129" s="380">
        <v>3.0125000000000002</v>
      </c>
      <c r="N129" s="323">
        <f t="shared" si="14"/>
        <v>103.0125</v>
      </c>
      <c r="O129" s="382"/>
      <c r="P129" s="384"/>
    </row>
    <row r="130" spans="2:16" ht="22.5" customHeight="1" x14ac:dyDescent="0.25">
      <c r="B130" s="327"/>
      <c r="C130" s="354"/>
      <c r="D130" s="220"/>
      <c r="E130" s="289"/>
      <c r="F130" s="223"/>
      <c r="G130" s="154">
        <v>2</v>
      </c>
      <c r="H130" s="154" t="s">
        <v>440</v>
      </c>
      <c r="I130" s="206"/>
      <c r="J130" s="223"/>
      <c r="K130" s="267"/>
      <c r="L130" s="247"/>
      <c r="M130" s="380"/>
      <c r="N130" s="323"/>
      <c r="O130" s="382"/>
      <c r="P130" s="384"/>
    </row>
    <row r="131" spans="2:16" ht="22.5" customHeight="1" x14ac:dyDescent="0.25">
      <c r="B131" s="327"/>
      <c r="C131" s="354"/>
      <c r="D131" s="220"/>
      <c r="E131" s="289"/>
      <c r="F131" s="223"/>
      <c r="G131" s="154">
        <v>3</v>
      </c>
      <c r="H131" s="154"/>
      <c r="I131" s="206"/>
      <c r="J131" s="223"/>
      <c r="K131" s="267"/>
      <c r="L131" s="247"/>
      <c r="M131" s="380"/>
      <c r="N131" s="323"/>
      <c r="O131" s="382"/>
      <c r="P131" s="384"/>
    </row>
    <row r="132" spans="2:16" ht="22.5" customHeight="1" x14ac:dyDescent="0.25">
      <c r="B132" s="327"/>
      <c r="C132" s="354"/>
      <c r="D132" s="220"/>
      <c r="E132" s="289"/>
      <c r="F132" s="223"/>
      <c r="G132" s="154">
        <v>4</v>
      </c>
      <c r="H132" s="154"/>
      <c r="I132" s="206"/>
      <c r="J132" s="223"/>
      <c r="K132" s="267"/>
      <c r="L132" s="247"/>
      <c r="M132" s="380"/>
      <c r="N132" s="323"/>
      <c r="O132" s="382"/>
      <c r="P132" s="384"/>
    </row>
    <row r="133" spans="2:16" ht="22.5" customHeight="1" x14ac:dyDescent="0.25">
      <c r="B133" s="327"/>
      <c r="C133" s="354"/>
      <c r="D133" s="220"/>
      <c r="E133" s="289"/>
      <c r="F133" s="223"/>
      <c r="G133" s="154">
        <v>5</v>
      </c>
      <c r="H133" s="154"/>
      <c r="I133" s="206"/>
      <c r="J133" s="223"/>
      <c r="K133" s="267"/>
      <c r="L133" s="247"/>
      <c r="M133" s="380"/>
      <c r="N133" s="323"/>
      <c r="O133" s="382"/>
      <c r="P133" s="384"/>
    </row>
    <row r="134" spans="2:16" ht="22.5" customHeight="1" x14ac:dyDescent="0.25">
      <c r="B134" s="327"/>
      <c r="C134" s="354"/>
      <c r="D134" s="220"/>
      <c r="E134" s="289"/>
      <c r="F134" s="223"/>
      <c r="G134" s="154">
        <v>6</v>
      </c>
      <c r="H134" s="154"/>
      <c r="I134" s="206"/>
      <c r="J134" s="223"/>
      <c r="K134" s="267"/>
      <c r="L134" s="247"/>
      <c r="M134" s="380"/>
      <c r="N134" s="323"/>
      <c r="O134" s="382"/>
      <c r="P134" s="384"/>
    </row>
    <row r="135" spans="2:16" ht="22.5" customHeight="1" x14ac:dyDescent="0.25">
      <c r="B135" s="327"/>
      <c r="C135" s="354"/>
      <c r="D135" s="220"/>
      <c r="E135" s="289"/>
      <c r="F135" s="223"/>
      <c r="G135" s="154">
        <v>7</v>
      </c>
      <c r="H135" s="154"/>
      <c r="I135" s="206"/>
      <c r="J135" s="223"/>
      <c r="K135" s="267"/>
      <c r="L135" s="247"/>
      <c r="M135" s="380"/>
      <c r="N135" s="323"/>
      <c r="O135" s="382"/>
      <c r="P135" s="384"/>
    </row>
    <row r="136" spans="2:16" ht="22.5" customHeight="1" thickBot="1" x14ac:dyDescent="0.3">
      <c r="B136" s="328"/>
      <c r="C136" s="355"/>
      <c r="D136" s="221"/>
      <c r="E136" s="290"/>
      <c r="F136" s="224"/>
      <c r="G136" s="155">
        <v>8</v>
      </c>
      <c r="H136" s="155"/>
      <c r="I136" s="207"/>
      <c r="J136" s="224"/>
      <c r="K136" s="268"/>
      <c r="L136" s="247"/>
      <c r="M136" s="380"/>
      <c r="N136" s="323"/>
      <c r="O136" s="382"/>
      <c r="P136" s="384"/>
    </row>
    <row r="137" spans="2:16" ht="22.5" customHeight="1" x14ac:dyDescent="0.25">
      <c r="B137" s="326" t="str">
        <f>+LEFT(C137,3)</f>
        <v>9.3</v>
      </c>
      <c r="C137" s="353" t="s">
        <v>204</v>
      </c>
      <c r="D137" s="356" t="s">
        <v>195</v>
      </c>
      <c r="E137" s="288" t="s">
        <v>442</v>
      </c>
      <c r="F137" s="222">
        <v>1</v>
      </c>
      <c r="G137" s="153">
        <v>1</v>
      </c>
      <c r="H137" s="153"/>
      <c r="I137" s="205" t="s">
        <v>443</v>
      </c>
      <c r="J137" s="222">
        <v>1</v>
      </c>
      <c r="K137" s="266" t="str">
        <f t="shared" si="12"/>
        <v>Deficiencia de control mayor (diseño y ejecución)</v>
      </c>
      <c r="L137" s="247">
        <f t="shared" si="13"/>
        <v>80</v>
      </c>
      <c r="M137" s="380">
        <v>3.1236000000000002</v>
      </c>
      <c r="N137" s="323">
        <f t="shared" si="14"/>
        <v>83.123599999999996</v>
      </c>
      <c r="O137" s="382"/>
      <c r="P137" s="384"/>
    </row>
    <row r="138" spans="2:16" ht="22.5" customHeight="1" x14ac:dyDescent="0.25">
      <c r="B138" s="327"/>
      <c r="C138" s="354"/>
      <c r="D138" s="220"/>
      <c r="E138" s="289"/>
      <c r="F138" s="223"/>
      <c r="G138" s="154">
        <v>2</v>
      </c>
      <c r="H138" s="154"/>
      <c r="I138" s="206"/>
      <c r="J138" s="223"/>
      <c r="K138" s="267"/>
      <c r="L138" s="247"/>
      <c r="M138" s="380"/>
      <c r="N138" s="323"/>
      <c r="O138" s="382"/>
      <c r="P138" s="384"/>
    </row>
    <row r="139" spans="2:16" ht="22.5" customHeight="1" x14ac:dyDescent="0.25">
      <c r="B139" s="327"/>
      <c r="C139" s="354"/>
      <c r="D139" s="220"/>
      <c r="E139" s="289"/>
      <c r="F139" s="223"/>
      <c r="G139" s="154">
        <v>3</v>
      </c>
      <c r="H139" s="154"/>
      <c r="I139" s="206"/>
      <c r="J139" s="223"/>
      <c r="K139" s="267"/>
      <c r="L139" s="247"/>
      <c r="M139" s="380"/>
      <c r="N139" s="323"/>
      <c r="O139" s="382"/>
      <c r="P139" s="384"/>
    </row>
    <row r="140" spans="2:16" ht="22.5" customHeight="1" x14ac:dyDescent="0.25">
      <c r="B140" s="327"/>
      <c r="C140" s="354"/>
      <c r="D140" s="220"/>
      <c r="E140" s="289"/>
      <c r="F140" s="223"/>
      <c r="G140" s="154">
        <v>4</v>
      </c>
      <c r="H140" s="154"/>
      <c r="I140" s="206"/>
      <c r="J140" s="223"/>
      <c r="K140" s="267"/>
      <c r="L140" s="247"/>
      <c r="M140" s="380"/>
      <c r="N140" s="323"/>
      <c r="O140" s="382"/>
      <c r="P140" s="384"/>
    </row>
    <row r="141" spans="2:16" ht="22.5" customHeight="1" x14ac:dyDescent="0.25">
      <c r="B141" s="327"/>
      <c r="C141" s="354"/>
      <c r="D141" s="220"/>
      <c r="E141" s="289"/>
      <c r="F141" s="223"/>
      <c r="G141" s="154">
        <v>5</v>
      </c>
      <c r="H141" s="154"/>
      <c r="I141" s="206"/>
      <c r="J141" s="223"/>
      <c r="K141" s="267"/>
      <c r="L141" s="247"/>
      <c r="M141" s="380"/>
      <c r="N141" s="323"/>
      <c r="O141" s="382"/>
      <c r="P141" s="384"/>
    </row>
    <row r="142" spans="2:16" ht="22.5" customHeight="1" x14ac:dyDescent="0.25">
      <c r="B142" s="327"/>
      <c r="C142" s="354"/>
      <c r="D142" s="220"/>
      <c r="E142" s="289"/>
      <c r="F142" s="223"/>
      <c r="G142" s="154">
        <v>6</v>
      </c>
      <c r="H142" s="154"/>
      <c r="I142" s="206"/>
      <c r="J142" s="223"/>
      <c r="K142" s="267"/>
      <c r="L142" s="247"/>
      <c r="M142" s="380"/>
      <c r="N142" s="323"/>
      <c r="O142" s="382"/>
      <c r="P142" s="384"/>
    </row>
    <row r="143" spans="2:16" ht="22.5" customHeight="1" x14ac:dyDescent="0.25">
      <c r="B143" s="327"/>
      <c r="C143" s="354"/>
      <c r="D143" s="220"/>
      <c r="E143" s="289"/>
      <c r="F143" s="223"/>
      <c r="G143" s="154">
        <v>7</v>
      </c>
      <c r="H143" s="154"/>
      <c r="I143" s="206"/>
      <c r="J143" s="223"/>
      <c r="K143" s="267"/>
      <c r="L143" s="247"/>
      <c r="M143" s="380"/>
      <c r="N143" s="323"/>
      <c r="O143" s="382"/>
      <c r="P143" s="384"/>
    </row>
    <row r="144" spans="2:16" ht="22.5" customHeight="1" thickBot="1" x14ac:dyDescent="0.3">
      <c r="B144" s="328"/>
      <c r="C144" s="355"/>
      <c r="D144" s="221"/>
      <c r="E144" s="290"/>
      <c r="F144" s="224"/>
      <c r="G144" s="155">
        <v>8</v>
      </c>
      <c r="H144" s="155"/>
      <c r="I144" s="207"/>
      <c r="J144" s="224"/>
      <c r="K144" s="268"/>
      <c r="L144" s="247"/>
      <c r="M144" s="380"/>
      <c r="N144" s="323"/>
      <c r="O144" s="382"/>
      <c r="P144" s="384"/>
    </row>
    <row r="145" spans="2:16" ht="22.5" customHeight="1" x14ac:dyDescent="0.25">
      <c r="B145" s="326" t="str">
        <f>+LEFT(C145,3)</f>
        <v>9.4</v>
      </c>
      <c r="C145" s="353" t="s">
        <v>205</v>
      </c>
      <c r="D145" s="356" t="s">
        <v>203</v>
      </c>
      <c r="E145" s="288" t="s">
        <v>444</v>
      </c>
      <c r="F145" s="222">
        <v>1</v>
      </c>
      <c r="G145" s="153">
        <v>1</v>
      </c>
      <c r="H145" s="153"/>
      <c r="I145" s="205" t="s">
        <v>444</v>
      </c>
      <c r="J145" s="222">
        <v>1</v>
      </c>
      <c r="K145" s="266" t="str">
        <f t="shared" si="12"/>
        <v>Deficiencia de control mayor (diseño y ejecución)</v>
      </c>
      <c r="L145" s="247">
        <f t="shared" si="13"/>
        <v>80</v>
      </c>
      <c r="M145" s="380">
        <v>3.2456</v>
      </c>
      <c r="N145" s="323">
        <f t="shared" si="14"/>
        <v>83.245599999999996</v>
      </c>
      <c r="O145" s="382"/>
      <c r="P145" s="384"/>
    </row>
    <row r="146" spans="2:16" ht="22.5" customHeight="1" x14ac:dyDescent="0.25">
      <c r="B146" s="327"/>
      <c r="C146" s="354"/>
      <c r="D146" s="220"/>
      <c r="E146" s="289"/>
      <c r="F146" s="223"/>
      <c r="G146" s="154">
        <v>2</v>
      </c>
      <c r="H146" s="154" t="s">
        <v>445</v>
      </c>
      <c r="I146" s="206"/>
      <c r="J146" s="223"/>
      <c r="K146" s="267"/>
      <c r="L146" s="247"/>
      <c r="M146" s="380"/>
      <c r="N146" s="323"/>
      <c r="O146" s="382"/>
      <c r="P146" s="384"/>
    </row>
    <row r="147" spans="2:16" ht="22.5" customHeight="1" x14ac:dyDescent="0.25">
      <c r="B147" s="327"/>
      <c r="C147" s="354"/>
      <c r="D147" s="220"/>
      <c r="E147" s="289"/>
      <c r="F147" s="223"/>
      <c r="G147" s="154">
        <v>3</v>
      </c>
      <c r="H147" s="154"/>
      <c r="I147" s="206"/>
      <c r="J147" s="223"/>
      <c r="K147" s="267"/>
      <c r="L147" s="247"/>
      <c r="M147" s="380"/>
      <c r="N147" s="323"/>
      <c r="O147" s="382"/>
      <c r="P147" s="384"/>
    </row>
    <row r="148" spans="2:16" ht="22.5" customHeight="1" x14ac:dyDescent="0.25">
      <c r="B148" s="327"/>
      <c r="C148" s="354"/>
      <c r="D148" s="220"/>
      <c r="E148" s="289"/>
      <c r="F148" s="223"/>
      <c r="G148" s="154">
        <v>4</v>
      </c>
      <c r="H148" s="154"/>
      <c r="I148" s="206"/>
      <c r="J148" s="223"/>
      <c r="K148" s="267"/>
      <c r="L148" s="247"/>
      <c r="M148" s="380"/>
      <c r="N148" s="323"/>
      <c r="O148" s="382"/>
      <c r="P148" s="384"/>
    </row>
    <row r="149" spans="2:16" ht="22.5" customHeight="1" x14ac:dyDescent="0.25">
      <c r="B149" s="327"/>
      <c r="C149" s="354"/>
      <c r="D149" s="220"/>
      <c r="E149" s="289"/>
      <c r="F149" s="223"/>
      <c r="G149" s="154">
        <v>5</v>
      </c>
      <c r="H149" s="154"/>
      <c r="I149" s="206"/>
      <c r="J149" s="223"/>
      <c r="K149" s="267"/>
      <c r="L149" s="247"/>
      <c r="M149" s="380"/>
      <c r="N149" s="323"/>
      <c r="O149" s="382"/>
      <c r="P149" s="384"/>
    </row>
    <row r="150" spans="2:16" ht="22.5" customHeight="1" x14ac:dyDescent="0.25">
      <c r="B150" s="327"/>
      <c r="C150" s="354"/>
      <c r="D150" s="220"/>
      <c r="E150" s="289"/>
      <c r="F150" s="223"/>
      <c r="G150" s="154">
        <v>6</v>
      </c>
      <c r="H150" s="154"/>
      <c r="I150" s="206"/>
      <c r="J150" s="223"/>
      <c r="K150" s="267"/>
      <c r="L150" s="247"/>
      <c r="M150" s="380"/>
      <c r="N150" s="323"/>
      <c r="O150" s="382"/>
      <c r="P150" s="384"/>
    </row>
    <row r="151" spans="2:16" ht="22.5" customHeight="1" x14ac:dyDescent="0.25">
      <c r="B151" s="327"/>
      <c r="C151" s="354"/>
      <c r="D151" s="220"/>
      <c r="E151" s="289"/>
      <c r="F151" s="223"/>
      <c r="G151" s="154">
        <v>7</v>
      </c>
      <c r="H151" s="154"/>
      <c r="I151" s="206"/>
      <c r="J151" s="223"/>
      <c r="K151" s="267"/>
      <c r="L151" s="247"/>
      <c r="M151" s="380"/>
      <c r="N151" s="323"/>
      <c r="O151" s="382"/>
      <c r="P151" s="384"/>
    </row>
    <row r="152" spans="2:16" ht="22.5" customHeight="1" thickBot="1" x14ac:dyDescent="0.3">
      <c r="B152" s="328"/>
      <c r="C152" s="355"/>
      <c r="D152" s="221"/>
      <c r="E152" s="290"/>
      <c r="F152" s="224"/>
      <c r="G152" s="155">
        <v>8</v>
      </c>
      <c r="H152" s="155"/>
      <c r="I152" s="207"/>
      <c r="J152" s="224"/>
      <c r="K152" s="268"/>
      <c r="L152" s="247"/>
      <c r="M152" s="380"/>
      <c r="N152" s="323"/>
      <c r="O152" s="382"/>
      <c r="P152" s="384"/>
    </row>
    <row r="153" spans="2:16" ht="22.5" customHeight="1" x14ac:dyDescent="0.25">
      <c r="B153" s="326" t="str">
        <f>+LEFT(C153,3)</f>
        <v>9.5</v>
      </c>
      <c r="C153" s="353" t="s">
        <v>206</v>
      </c>
      <c r="D153" s="356" t="s">
        <v>207</v>
      </c>
      <c r="E153" s="288" t="s">
        <v>444</v>
      </c>
      <c r="F153" s="222">
        <v>1</v>
      </c>
      <c r="G153" s="153">
        <v>1</v>
      </c>
      <c r="H153" s="153"/>
      <c r="I153" s="205" t="s">
        <v>444</v>
      </c>
      <c r="J153" s="222">
        <v>1</v>
      </c>
      <c r="K153" s="266" t="str">
        <f t="shared" si="12"/>
        <v>Deficiencia de control mayor (diseño y ejecución)</v>
      </c>
      <c r="L153" s="247">
        <f t="shared" si="13"/>
        <v>80</v>
      </c>
      <c r="M153" s="380">
        <v>3.3654000000000002</v>
      </c>
      <c r="N153" s="323">
        <f t="shared" si="14"/>
        <v>83.365399999999994</v>
      </c>
      <c r="O153" s="382"/>
      <c r="P153" s="384"/>
    </row>
    <row r="154" spans="2:16" ht="22.5" customHeight="1" x14ac:dyDescent="0.25">
      <c r="B154" s="327"/>
      <c r="C154" s="354"/>
      <c r="D154" s="220"/>
      <c r="E154" s="289"/>
      <c r="F154" s="223"/>
      <c r="G154" s="154">
        <v>2</v>
      </c>
      <c r="H154" s="154"/>
      <c r="I154" s="206"/>
      <c r="J154" s="223"/>
      <c r="K154" s="267"/>
      <c r="L154" s="247"/>
      <c r="M154" s="380"/>
      <c r="N154" s="323"/>
      <c r="O154" s="382"/>
      <c r="P154" s="384"/>
    </row>
    <row r="155" spans="2:16" ht="22.5" customHeight="1" x14ac:dyDescent="0.25">
      <c r="B155" s="327"/>
      <c r="C155" s="354"/>
      <c r="D155" s="220"/>
      <c r="E155" s="289"/>
      <c r="F155" s="223"/>
      <c r="G155" s="154">
        <v>3</v>
      </c>
      <c r="H155" s="154" t="s">
        <v>445</v>
      </c>
      <c r="I155" s="206"/>
      <c r="J155" s="223"/>
      <c r="K155" s="267"/>
      <c r="L155" s="247"/>
      <c r="M155" s="380"/>
      <c r="N155" s="323"/>
      <c r="O155" s="382"/>
      <c r="P155" s="384"/>
    </row>
    <row r="156" spans="2:16" ht="22.5" customHeight="1" x14ac:dyDescent="0.25">
      <c r="B156" s="327"/>
      <c r="C156" s="354"/>
      <c r="D156" s="220"/>
      <c r="E156" s="289"/>
      <c r="F156" s="223"/>
      <c r="G156" s="154">
        <v>4</v>
      </c>
      <c r="H156" s="154"/>
      <c r="I156" s="206"/>
      <c r="J156" s="223"/>
      <c r="K156" s="267"/>
      <c r="L156" s="247"/>
      <c r="M156" s="380"/>
      <c r="N156" s="323"/>
      <c r="O156" s="382"/>
      <c r="P156" s="384"/>
    </row>
    <row r="157" spans="2:16" ht="22.5" customHeight="1" x14ac:dyDescent="0.25">
      <c r="B157" s="327"/>
      <c r="C157" s="354"/>
      <c r="D157" s="220"/>
      <c r="E157" s="289"/>
      <c r="F157" s="223"/>
      <c r="G157" s="154">
        <v>5</v>
      </c>
      <c r="H157" s="154"/>
      <c r="I157" s="206"/>
      <c r="J157" s="223"/>
      <c r="K157" s="267"/>
      <c r="L157" s="247"/>
      <c r="M157" s="380"/>
      <c r="N157" s="323"/>
      <c r="O157" s="382"/>
      <c r="P157" s="384"/>
    </row>
    <row r="158" spans="2:16" ht="22.5" customHeight="1" x14ac:dyDescent="0.25">
      <c r="B158" s="327"/>
      <c r="C158" s="354"/>
      <c r="D158" s="220"/>
      <c r="E158" s="289"/>
      <c r="F158" s="223"/>
      <c r="G158" s="154">
        <v>6</v>
      </c>
      <c r="H158" s="154"/>
      <c r="I158" s="206"/>
      <c r="J158" s="223"/>
      <c r="K158" s="267"/>
      <c r="L158" s="247"/>
      <c r="M158" s="380"/>
      <c r="N158" s="323"/>
      <c r="O158" s="382"/>
      <c r="P158" s="384"/>
    </row>
    <row r="159" spans="2:16" ht="22.5" customHeight="1" x14ac:dyDescent="0.25">
      <c r="B159" s="327"/>
      <c r="C159" s="354"/>
      <c r="D159" s="220"/>
      <c r="E159" s="289"/>
      <c r="F159" s="223"/>
      <c r="G159" s="154">
        <v>7</v>
      </c>
      <c r="H159" s="154"/>
      <c r="I159" s="206"/>
      <c r="J159" s="223"/>
      <c r="K159" s="267"/>
      <c r="L159" s="247"/>
      <c r="M159" s="380"/>
      <c r="N159" s="323"/>
      <c r="O159" s="382"/>
      <c r="P159" s="384"/>
    </row>
    <row r="160" spans="2:16" ht="22.5" customHeight="1" thickBot="1" x14ac:dyDescent="0.3">
      <c r="B160" s="328"/>
      <c r="C160" s="355"/>
      <c r="D160" s="221"/>
      <c r="E160" s="290"/>
      <c r="F160" s="224"/>
      <c r="G160" s="155">
        <v>8</v>
      </c>
      <c r="H160" s="155"/>
      <c r="I160" s="207"/>
      <c r="J160" s="224"/>
      <c r="K160" s="268"/>
      <c r="L160" s="247"/>
      <c r="M160" s="380"/>
      <c r="N160" s="323"/>
      <c r="O160" s="382"/>
      <c r="P160" s="384"/>
    </row>
  </sheetData>
  <sheetProtection password="D72A" sheet="1" objects="1" scenarios="1" formatCells="0" formatColumns="0" formatRows="0"/>
  <mergeCells count="286">
    <mergeCell ref="I137:I144"/>
    <mergeCell ref="I145:I152"/>
    <mergeCell ref="I153:I160"/>
    <mergeCell ref="H41:H42"/>
    <mergeCell ref="H84:H85"/>
    <mergeCell ref="H119:H120"/>
    <mergeCell ref="I51:I58"/>
    <mergeCell ref="I59:I66"/>
    <mergeCell ref="I67:I74"/>
    <mergeCell ref="I75:I82"/>
    <mergeCell ref="I86:I93"/>
    <mergeCell ref="I94:I101"/>
    <mergeCell ref="I102:I109"/>
    <mergeCell ref="I110:I117"/>
    <mergeCell ref="I121:I128"/>
    <mergeCell ref="P137:P144"/>
    <mergeCell ref="P145:P152"/>
    <mergeCell ref="P153:P160"/>
    <mergeCell ref="P75:P82"/>
    <mergeCell ref="P83:P85"/>
    <mergeCell ref="P86:P93"/>
    <mergeCell ref="P94:P101"/>
    <mergeCell ref="P102:P109"/>
    <mergeCell ref="P110:P117"/>
    <mergeCell ref="P118:P120"/>
    <mergeCell ref="P121:P128"/>
    <mergeCell ref="P129:P136"/>
    <mergeCell ref="P13:P15"/>
    <mergeCell ref="P16:P23"/>
    <mergeCell ref="P24:P31"/>
    <mergeCell ref="P32:P39"/>
    <mergeCell ref="P40:P42"/>
    <mergeCell ref="P43:P50"/>
    <mergeCell ref="P51:P58"/>
    <mergeCell ref="P59:P66"/>
    <mergeCell ref="P67:P74"/>
    <mergeCell ref="M137:M144"/>
    <mergeCell ref="M145:M152"/>
    <mergeCell ref="M153:M160"/>
    <mergeCell ref="O13:O15"/>
    <mergeCell ref="N16:N23"/>
    <mergeCell ref="O24:O31"/>
    <mergeCell ref="O32:O39"/>
    <mergeCell ref="O40:O42"/>
    <mergeCell ref="O43:O50"/>
    <mergeCell ref="O51:O58"/>
    <mergeCell ref="O59:O66"/>
    <mergeCell ref="O67:O74"/>
    <mergeCell ref="O75:O82"/>
    <mergeCell ref="O83:O85"/>
    <mergeCell ref="O86:O93"/>
    <mergeCell ref="O94:O101"/>
    <mergeCell ref="O102:O109"/>
    <mergeCell ref="O110:O117"/>
    <mergeCell ref="O118:O120"/>
    <mergeCell ref="O121:O128"/>
    <mergeCell ref="O129:O136"/>
    <mergeCell ref="O137:O144"/>
    <mergeCell ref="O145:O152"/>
    <mergeCell ref="O153:O160"/>
    <mergeCell ref="M75:M82"/>
    <mergeCell ref="M83:M85"/>
    <mergeCell ref="M86:M93"/>
    <mergeCell ref="M94:M101"/>
    <mergeCell ref="M102:M109"/>
    <mergeCell ref="M110:M117"/>
    <mergeCell ref="M118:M120"/>
    <mergeCell ref="M121:M128"/>
    <mergeCell ref="M129:M136"/>
    <mergeCell ref="M13:M15"/>
    <mergeCell ref="M16:M23"/>
    <mergeCell ref="M24:M31"/>
    <mergeCell ref="M32:M39"/>
    <mergeCell ref="M40:M42"/>
    <mergeCell ref="M43:M50"/>
    <mergeCell ref="M51:M58"/>
    <mergeCell ref="M59:M66"/>
    <mergeCell ref="M67:M74"/>
    <mergeCell ref="L13:L15"/>
    <mergeCell ref="L16:L23"/>
    <mergeCell ref="L24:L31"/>
    <mergeCell ref="L32:L39"/>
    <mergeCell ref="L40:L42"/>
    <mergeCell ref="L43:L50"/>
    <mergeCell ref="L51:L58"/>
    <mergeCell ref="L59:L66"/>
    <mergeCell ref="L67:L74"/>
    <mergeCell ref="L75:L82"/>
    <mergeCell ref="L83:L85"/>
    <mergeCell ref="L86:L93"/>
    <mergeCell ref="L94:L101"/>
    <mergeCell ref="L102:L109"/>
    <mergeCell ref="L110:L117"/>
    <mergeCell ref="L118:L120"/>
    <mergeCell ref="L121:L128"/>
    <mergeCell ref="L129:L136"/>
    <mergeCell ref="L137:L144"/>
    <mergeCell ref="L145:L152"/>
    <mergeCell ref="L153:L160"/>
    <mergeCell ref="J137:J144"/>
    <mergeCell ref="C94:C101"/>
    <mergeCell ref="D94:D101"/>
    <mergeCell ref="E94:E101"/>
    <mergeCell ref="F94:F101"/>
    <mergeCell ref="J94:J101"/>
    <mergeCell ref="C102:C109"/>
    <mergeCell ref="D102:D109"/>
    <mergeCell ref="E102:E109"/>
    <mergeCell ref="F102:F109"/>
    <mergeCell ref="J102:J109"/>
    <mergeCell ref="C121:C128"/>
    <mergeCell ref="E121:E128"/>
    <mergeCell ref="F121:F128"/>
    <mergeCell ref="F118:F120"/>
    <mergeCell ref="C145:C152"/>
    <mergeCell ref="F145:F152"/>
    <mergeCell ref="D145:D152"/>
    <mergeCell ref="E145:E152"/>
    <mergeCell ref="F153:F160"/>
    <mergeCell ref="K121:K128"/>
    <mergeCell ref="C67:C74"/>
    <mergeCell ref="D67:D74"/>
    <mergeCell ref="E67:E74"/>
    <mergeCell ref="F67:F74"/>
    <mergeCell ref="J67:J74"/>
    <mergeCell ref="E83:E85"/>
    <mergeCell ref="E118:E120"/>
    <mergeCell ref="G84:G85"/>
    <mergeCell ref="G14:G15"/>
    <mergeCell ref="C24:C31"/>
    <mergeCell ref="E24:E31"/>
    <mergeCell ref="F24:F31"/>
    <mergeCell ref="C13:C15"/>
    <mergeCell ref="C83:C85"/>
    <mergeCell ref="F83:F85"/>
    <mergeCell ref="C75:C82"/>
    <mergeCell ref="E75:E82"/>
    <mergeCell ref="F75:F82"/>
    <mergeCell ref="D75:D82"/>
    <mergeCell ref="D83:D85"/>
    <mergeCell ref="D118:D120"/>
    <mergeCell ref="C118:C120"/>
    <mergeCell ref="C32:C39"/>
    <mergeCell ref="E32:E39"/>
    <mergeCell ref="F32:F39"/>
    <mergeCell ref="D32:D39"/>
    <mergeCell ref="I41:I42"/>
    <mergeCell ref="C43:C50"/>
    <mergeCell ref="E43:E50"/>
    <mergeCell ref="G40:I40"/>
    <mergeCell ref="F40:F42"/>
    <mergeCell ref="F43:F50"/>
    <mergeCell ref="E40:E42"/>
    <mergeCell ref="I32:I39"/>
    <mergeCell ref="I43:I50"/>
    <mergeCell ref="F59:F66"/>
    <mergeCell ref="G41:G42"/>
    <mergeCell ref="C51:C58"/>
    <mergeCell ref="D40:D42"/>
    <mergeCell ref="D59:D66"/>
    <mergeCell ref="C40:C42"/>
    <mergeCell ref="C59:C66"/>
    <mergeCell ref="E59:E66"/>
    <mergeCell ref="D43:D50"/>
    <mergeCell ref="D51:D58"/>
    <mergeCell ref="E51:E58"/>
    <mergeCell ref="F51:F58"/>
    <mergeCell ref="J118:J120"/>
    <mergeCell ref="J129:J136"/>
    <mergeCell ref="J153:J160"/>
    <mergeCell ref="G119:G120"/>
    <mergeCell ref="G83:I83"/>
    <mergeCell ref="G118:I118"/>
    <mergeCell ref="C86:C93"/>
    <mergeCell ref="E86:E93"/>
    <mergeCell ref="F86:F93"/>
    <mergeCell ref="C110:C117"/>
    <mergeCell ref="E110:E117"/>
    <mergeCell ref="F110:F117"/>
    <mergeCell ref="D110:D117"/>
    <mergeCell ref="D86:D93"/>
    <mergeCell ref="C137:C144"/>
    <mergeCell ref="D137:D144"/>
    <mergeCell ref="E137:E144"/>
    <mergeCell ref="F137:F144"/>
    <mergeCell ref="D129:D136"/>
    <mergeCell ref="D121:D128"/>
    <mergeCell ref="C129:C136"/>
    <mergeCell ref="E129:E136"/>
    <mergeCell ref="F129:F136"/>
    <mergeCell ref="I129:I136"/>
    <mergeCell ref="E16:E23"/>
    <mergeCell ref="D24:D31"/>
    <mergeCell ref="E13:E15"/>
    <mergeCell ref="D13:D15"/>
    <mergeCell ref="J13:J15"/>
    <mergeCell ref="H14:H15"/>
    <mergeCell ref="I16:I23"/>
    <mergeCell ref="I24:I31"/>
    <mergeCell ref="C153:C160"/>
    <mergeCell ref="E153:E160"/>
    <mergeCell ref="D153:D160"/>
    <mergeCell ref="J32:J39"/>
    <mergeCell ref="J40:J42"/>
    <mergeCell ref="J43:J50"/>
    <mergeCell ref="J51:J58"/>
    <mergeCell ref="J59:J66"/>
    <mergeCell ref="J75:J82"/>
    <mergeCell ref="J83:J85"/>
    <mergeCell ref="J86:J93"/>
    <mergeCell ref="J145:J152"/>
    <mergeCell ref="J121:J128"/>
    <mergeCell ref="I84:I85"/>
    <mergeCell ref="I119:I120"/>
    <mergeCell ref="J110:J117"/>
    <mergeCell ref="K145:K152"/>
    <mergeCell ref="K153:K160"/>
    <mergeCell ref="C10:K10"/>
    <mergeCell ref="C11:K11"/>
    <mergeCell ref="K13:K15"/>
    <mergeCell ref="K40:K42"/>
    <mergeCell ref="K83:K85"/>
    <mergeCell ref="K118:K120"/>
    <mergeCell ref="K16:K23"/>
    <mergeCell ref="K24:K31"/>
    <mergeCell ref="K32:K39"/>
    <mergeCell ref="K43:K50"/>
    <mergeCell ref="K51:K58"/>
    <mergeCell ref="K59:K66"/>
    <mergeCell ref="K67:K74"/>
    <mergeCell ref="K75:K82"/>
    <mergeCell ref="K86:K93"/>
    <mergeCell ref="K94:K101"/>
    <mergeCell ref="K102:K109"/>
    <mergeCell ref="K110:K117"/>
    <mergeCell ref="G13:I13"/>
    <mergeCell ref="J16:J23"/>
    <mergeCell ref="J24:J31"/>
    <mergeCell ref="I14:I15"/>
    <mergeCell ref="B145:B152"/>
    <mergeCell ref="B153:B160"/>
    <mergeCell ref="B86:B93"/>
    <mergeCell ref="B94:B101"/>
    <mergeCell ref="B121:B128"/>
    <mergeCell ref="B129:B136"/>
    <mergeCell ref="B75:B82"/>
    <mergeCell ref="B83:B85"/>
    <mergeCell ref="B102:B109"/>
    <mergeCell ref="B110:B117"/>
    <mergeCell ref="B118:B120"/>
    <mergeCell ref="N13:N15"/>
    <mergeCell ref="N24:N31"/>
    <mergeCell ref="N32:N39"/>
    <mergeCell ref="N40:N42"/>
    <mergeCell ref="N43:N50"/>
    <mergeCell ref="N51:N58"/>
    <mergeCell ref="N59:N66"/>
    <mergeCell ref="N67:N74"/>
    <mergeCell ref="B137:B144"/>
    <mergeCell ref="B13:B15"/>
    <mergeCell ref="B16:B23"/>
    <mergeCell ref="B24:B31"/>
    <mergeCell ref="B32:B39"/>
    <mergeCell ref="B51:B58"/>
    <mergeCell ref="B59:B66"/>
    <mergeCell ref="B67:B74"/>
    <mergeCell ref="B40:B42"/>
    <mergeCell ref="B43:B50"/>
    <mergeCell ref="K129:K136"/>
    <mergeCell ref="K137:K144"/>
    <mergeCell ref="F13:F15"/>
    <mergeCell ref="C16:C23"/>
    <mergeCell ref="D16:D23"/>
    <mergeCell ref="F16:F23"/>
    <mergeCell ref="N137:N144"/>
    <mergeCell ref="N145:N152"/>
    <mergeCell ref="N153:N160"/>
    <mergeCell ref="N75:N82"/>
    <mergeCell ref="N83:N85"/>
    <mergeCell ref="N86:N93"/>
    <mergeCell ref="N94:N101"/>
    <mergeCell ref="N102:N109"/>
    <mergeCell ref="N110:N117"/>
    <mergeCell ref="N118:N120"/>
    <mergeCell ref="N121:N128"/>
    <mergeCell ref="N129:N136"/>
  </mergeCells>
  <dataValidations count="1">
    <dataValidation type="list" allowBlank="1" showInputMessage="1" showErrorMessage="1" sqref="F121:F160 F43:F82 J16:J39 F86:F117 J86:J117 F16:F39 J43:J82 J121:J160" xr:uid="{00000000-0002-0000-0300-000000000000}">
      <formula1>"1,2,3"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38"/>
  <sheetViews>
    <sheetView tabSelected="1" topLeftCell="B1" zoomScale="60" zoomScaleNormal="60" workbookViewId="0">
      <selection activeCell="M10" sqref="M10"/>
    </sheetView>
  </sheetViews>
  <sheetFormatPr baseColWidth="10" defaultColWidth="11.44140625" defaultRowHeight="12.7" x14ac:dyDescent="0.25"/>
  <cols>
    <col min="1" max="1" width="3.109375" style="46" customWidth="1"/>
    <col min="2" max="2" width="3.44140625" style="46" customWidth="1"/>
    <col min="3" max="3" width="35.5546875" style="46" customWidth="1"/>
    <col min="4" max="4" width="2.5546875" style="46" customWidth="1"/>
    <col min="5" max="5" width="38.6640625" style="46" customWidth="1"/>
    <col min="6" max="6" width="10.88671875" style="46" customWidth="1"/>
    <col min="7" max="7" width="23.44140625" style="46" customWidth="1"/>
    <col min="8" max="8" width="7.5546875" style="46" customWidth="1"/>
    <col min="9" max="9" width="68.109375" style="46" customWidth="1"/>
    <col min="10" max="10" width="5.88671875" style="46" customWidth="1"/>
    <col min="11" max="11" width="28.109375" style="46" customWidth="1"/>
    <col min="12" max="12" width="4.33203125" style="46" customWidth="1"/>
    <col min="13" max="13" width="83" style="46" customWidth="1"/>
    <col min="14" max="14" width="5.88671875" style="46" customWidth="1"/>
    <col min="15" max="15" width="24.88671875" style="46" customWidth="1"/>
    <col min="16" max="16" width="7" style="46" customWidth="1"/>
    <col min="17" max="16384" width="11.44140625" style="46"/>
  </cols>
  <sheetData>
    <row r="1" spans="2:16" ht="13.25" thickBot="1" x14ac:dyDescent="0.3"/>
    <row r="2" spans="2:16" ht="18" customHeight="1" thickTop="1" x14ac:dyDescent="0.25">
      <c r="B2" s="29"/>
      <c r="C2" s="30"/>
      <c r="D2" s="30"/>
      <c r="E2" s="30"/>
      <c r="F2" s="30"/>
      <c r="G2" s="30"/>
      <c r="H2" s="30"/>
      <c r="I2" s="30"/>
      <c r="J2" s="30"/>
      <c r="K2" s="30"/>
      <c r="L2" s="30"/>
      <c r="M2" s="30"/>
      <c r="N2" s="30"/>
      <c r="O2" s="30"/>
      <c r="P2" s="31"/>
    </row>
    <row r="3" spans="2:16" ht="18" customHeight="1" x14ac:dyDescent="0.25">
      <c r="B3" s="32"/>
      <c r="C3" s="33"/>
      <c r="D3" s="33"/>
      <c r="E3" s="400" t="s">
        <v>208</v>
      </c>
      <c r="F3" s="395" t="s">
        <v>351</v>
      </c>
      <c r="G3" s="396"/>
      <c r="H3" s="396"/>
      <c r="I3" s="396"/>
      <c r="J3" s="396"/>
      <c r="K3" s="396"/>
      <c r="L3" s="396"/>
      <c r="M3" s="396"/>
      <c r="N3" s="141"/>
      <c r="O3" s="141"/>
      <c r="P3" s="34"/>
    </row>
    <row r="4" spans="2:16" ht="18" customHeight="1" x14ac:dyDescent="0.25">
      <c r="B4" s="32"/>
      <c r="C4" s="33"/>
      <c r="D4" s="33"/>
      <c r="E4" s="401"/>
      <c r="F4" s="396"/>
      <c r="G4" s="396"/>
      <c r="H4" s="396"/>
      <c r="I4" s="396"/>
      <c r="J4" s="396"/>
      <c r="K4" s="396"/>
      <c r="L4" s="396"/>
      <c r="M4" s="396"/>
      <c r="N4" s="141"/>
      <c r="O4" s="141"/>
      <c r="P4" s="34"/>
    </row>
    <row r="5" spans="2:16" ht="41.2" customHeight="1" x14ac:dyDescent="0.3">
      <c r="B5" s="32"/>
      <c r="C5" s="33"/>
      <c r="D5" s="33"/>
      <c r="E5" s="106" t="s">
        <v>209</v>
      </c>
      <c r="F5" s="397" t="s">
        <v>451</v>
      </c>
      <c r="G5" s="398"/>
      <c r="H5" s="398"/>
      <c r="I5" s="398"/>
      <c r="J5" s="398"/>
      <c r="K5" s="398"/>
      <c r="L5" s="398"/>
      <c r="M5" s="399"/>
      <c r="N5" s="142"/>
      <c r="O5" s="142"/>
      <c r="P5" s="34"/>
    </row>
    <row r="6" spans="2:16" ht="18" customHeight="1" thickBot="1" x14ac:dyDescent="0.3">
      <c r="B6" s="32"/>
      <c r="C6" s="33"/>
      <c r="D6" s="33"/>
      <c r="E6" s="55"/>
      <c r="F6" s="142"/>
      <c r="G6" s="142"/>
      <c r="H6" s="142"/>
      <c r="I6" s="142"/>
      <c r="J6" s="142"/>
      <c r="K6" s="142"/>
      <c r="L6" s="142"/>
      <c r="M6" s="33"/>
      <c r="N6" s="33"/>
      <c r="O6" s="33"/>
      <c r="P6" s="34"/>
    </row>
    <row r="7" spans="2:16" ht="93.05" customHeight="1" thickBot="1" x14ac:dyDescent="0.3">
      <c r="B7" s="32"/>
      <c r="C7" s="33"/>
      <c r="D7" s="33"/>
      <c r="E7" s="33"/>
      <c r="F7" s="33"/>
      <c r="G7" s="33"/>
      <c r="H7" s="33"/>
      <c r="I7" s="402" t="s">
        <v>210</v>
      </c>
      <c r="J7" s="403"/>
      <c r="K7" s="404"/>
      <c r="L7" s="33"/>
      <c r="M7" s="122" t="e">
        <f>+AVERAGE(G25,G27,G29,G31,G33)</f>
        <v>#REF!</v>
      </c>
      <c r="N7" s="66"/>
      <c r="O7" s="66"/>
      <c r="P7" s="34"/>
    </row>
    <row r="8" spans="2:16" ht="18" customHeight="1" x14ac:dyDescent="0.3">
      <c r="B8" s="32"/>
      <c r="C8" s="33"/>
      <c r="D8" s="33"/>
      <c r="E8" s="33"/>
      <c r="F8" s="33"/>
      <c r="G8" s="33"/>
      <c r="H8" s="33"/>
      <c r="I8" s="33"/>
      <c r="J8" s="33"/>
      <c r="K8" s="33"/>
      <c r="L8" s="33"/>
      <c r="M8" s="57"/>
      <c r="N8" s="57"/>
      <c r="O8" s="57"/>
      <c r="P8" s="34"/>
    </row>
    <row r="9" spans="2:16" ht="18" customHeight="1" x14ac:dyDescent="0.25">
      <c r="B9" s="32"/>
      <c r="C9" s="33"/>
      <c r="D9" s="33"/>
      <c r="E9" s="33"/>
      <c r="F9" s="33"/>
      <c r="G9" s="33"/>
      <c r="H9" s="33"/>
      <c r="I9" s="33"/>
      <c r="J9" s="33"/>
      <c r="K9" s="33"/>
      <c r="L9" s="33"/>
      <c r="M9" s="33"/>
      <c r="N9" s="33"/>
      <c r="O9" s="33"/>
      <c r="P9" s="34"/>
    </row>
    <row r="10" spans="2:16" x14ac:dyDescent="0.25">
      <c r="B10" s="32"/>
      <c r="C10" s="33"/>
      <c r="D10" s="33"/>
      <c r="E10" s="33"/>
      <c r="F10" s="33"/>
      <c r="G10" s="33"/>
      <c r="H10" s="33"/>
      <c r="I10" s="33"/>
      <c r="J10" s="33"/>
      <c r="K10" s="33"/>
      <c r="L10" s="33"/>
      <c r="M10" s="33"/>
      <c r="N10" s="33"/>
      <c r="O10" s="33"/>
      <c r="P10" s="34"/>
    </row>
    <row r="11" spans="2:16" x14ac:dyDescent="0.25">
      <c r="B11" s="32"/>
      <c r="C11" s="33"/>
      <c r="D11" s="33"/>
      <c r="E11" s="33"/>
      <c r="F11" s="33"/>
      <c r="G11" s="33"/>
      <c r="H11" s="33"/>
      <c r="I11" s="33"/>
      <c r="J11" s="33"/>
      <c r="K11" s="33"/>
      <c r="L11" s="33"/>
      <c r="M11" s="33"/>
      <c r="N11" s="33"/>
      <c r="O11" s="33"/>
      <c r="P11" s="34"/>
    </row>
    <row r="12" spans="2:16" x14ac:dyDescent="0.25">
      <c r="B12" s="32"/>
      <c r="C12" s="33"/>
      <c r="D12" s="33"/>
      <c r="E12" s="33"/>
      <c r="F12" s="33"/>
      <c r="G12" s="33"/>
      <c r="H12" s="33"/>
      <c r="I12" s="33"/>
      <c r="J12" s="33"/>
      <c r="K12" s="33"/>
      <c r="L12" s="33"/>
      <c r="M12" s="33"/>
      <c r="N12" s="33"/>
      <c r="O12" s="33"/>
      <c r="P12" s="34"/>
    </row>
    <row r="13" spans="2:16" x14ac:dyDescent="0.25">
      <c r="B13" s="32"/>
      <c r="C13" s="33"/>
      <c r="D13" s="33"/>
      <c r="E13" s="33"/>
      <c r="F13" s="33"/>
      <c r="G13" s="33"/>
      <c r="H13" s="33"/>
      <c r="I13" s="33"/>
      <c r="J13" s="33"/>
      <c r="K13" s="33"/>
      <c r="L13" s="33"/>
      <c r="M13" s="33"/>
      <c r="N13" s="33"/>
      <c r="O13" s="33"/>
      <c r="P13" s="34"/>
    </row>
    <row r="14" spans="2:16" x14ac:dyDescent="0.25">
      <c r="B14" s="32"/>
      <c r="C14" s="33"/>
      <c r="D14" s="33"/>
      <c r="E14" s="33"/>
      <c r="F14" s="33"/>
      <c r="G14" s="33"/>
      <c r="H14" s="33"/>
      <c r="I14" s="33"/>
      <c r="J14" s="33"/>
      <c r="K14" s="33"/>
      <c r="L14" s="33"/>
      <c r="M14" s="33"/>
      <c r="N14" s="33"/>
      <c r="O14" s="33"/>
      <c r="P14" s="34"/>
    </row>
    <row r="15" spans="2:16" x14ac:dyDescent="0.25">
      <c r="B15" s="32"/>
      <c r="C15" s="33"/>
      <c r="D15" s="33"/>
      <c r="E15" s="33"/>
      <c r="F15" s="33"/>
      <c r="G15" s="33"/>
      <c r="H15" s="33"/>
      <c r="I15" s="33"/>
      <c r="J15" s="33"/>
      <c r="K15" s="33"/>
      <c r="L15" s="33"/>
      <c r="M15" s="33"/>
      <c r="N15" s="33"/>
      <c r="O15" s="33"/>
      <c r="P15" s="34"/>
    </row>
    <row r="16" spans="2:16" x14ac:dyDescent="0.25">
      <c r="B16" s="32"/>
      <c r="C16" s="33"/>
      <c r="D16" s="33"/>
      <c r="E16" s="33"/>
      <c r="F16" s="33"/>
      <c r="G16" s="33"/>
      <c r="H16" s="33"/>
      <c r="I16" s="33"/>
      <c r="J16" s="33"/>
      <c r="K16" s="33"/>
      <c r="L16" s="33"/>
      <c r="M16" s="33"/>
      <c r="N16" s="33"/>
      <c r="O16" s="33"/>
      <c r="P16" s="34"/>
    </row>
    <row r="17" spans="2:22" ht="22.5" x14ac:dyDescent="0.25">
      <c r="B17" s="32"/>
      <c r="C17" s="387" t="s">
        <v>211</v>
      </c>
      <c r="D17" s="388"/>
      <c r="E17" s="388"/>
      <c r="F17" s="388"/>
      <c r="G17" s="388"/>
      <c r="H17" s="388"/>
      <c r="I17" s="388"/>
      <c r="J17" s="388"/>
      <c r="K17" s="388"/>
      <c r="L17" s="388"/>
      <c r="M17" s="389"/>
      <c r="N17" s="67"/>
      <c r="O17" s="67"/>
      <c r="P17" s="34"/>
    </row>
    <row r="18" spans="2:22" ht="15.7" customHeight="1" x14ac:dyDescent="0.25">
      <c r="B18" s="32"/>
      <c r="C18" s="35"/>
      <c r="D18" s="35"/>
      <c r="E18" s="35"/>
      <c r="F18" s="35"/>
      <c r="G18" s="35"/>
      <c r="H18" s="35"/>
      <c r="I18" s="35"/>
      <c r="J18" s="35"/>
      <c r="K18" s="35"/>
      <c r="L18" s="35"/>
      <c r="M18" s="35"/>
      <c r="N18" s="39"/>
      <c r="O18" s="39"/>
      <c r="P18" s="34"/>
    </row>
    <row r="19" spans="2:22" ht="200.3" customHeight="1" x14ac:dyDescent="0.25">
      <c r="B19" s="32"/>
      <c r="C19" s="390" t="s">
        <v>212</v>
      </c>
      <c r="D19" s="391"/>
      <c r="E19" s="128" t="s">
        <v>213</v>
      </c>
      <c r="F19" s="392" t="s">
        <v>343</v>
      </c>
      <c r="G19" s="393"/>
      <c r="H19" s="393"/>
      <c r="I19" s="393"/>
      <c r="J19" s="393"/>
      <c r="K19" s="393"/>
      <c r="L19" s="393"/>
      <c r="M19" s="394"/>
      <c r="N19" s="59"/>
      <c r="O19" s="59"/>
      <c r="P19" s="34"/>
    </row>
    <row r="20" spans="2:22" ht="105.7" customHeight="1" x14ac:dyDescent="0.25">
      <c r="B20" s="32"/>
      <c r="C20" s="390" t="s">
        <v>214</v>
      </c>
      <c r="D20" s="391"/>
      <c r="E20" s="128" t="s">
        <v>215</v>
      </c>
      <c r="F20" s="392" t="s">
        <v>345</v>
      </c>
      <c r="G20" s="393"/>
      <c r="H20" s="393"/>
      <c r="I20" s="393"/>
      <c r="J20" s="393"/>
      <c r="K20" s="393"/>
      <c r="L20" s="393"/>
      <c r="M20" s="394"/>
      <c r="N20" s="59"/>
      <c r="O20" s="59"/>
      <c r="P20" s="34"/>
    </row>
    <row r="21" spans="2:22" ht="143.30000000000001" customHeight="1" x14ac:dyDescent="0.25">
      <c r="B21" s="32"/>
      <c r="C21" s="385" t="s">
        <v>216</v>
      </c>
      <c r="D21" s="386"/>
      <c r="E21" s="128" t="s">
        <v>217</v>
      </c>
      <c r="F21" s="392" t="s">
        <v>344</v>
      </c>
      <c r="G21" s="393"/>
      <c r="H21" s="393"/>
      <c r="I21" s="393"/>
      <c r="J21" s="393"/>
      <c r="K21" s="393"/>
      <c r="L21" s="393"/>
      <c r="M21" s="394"/>
      <c r="N21" s="59"/>
      <c r="O21" s="59"/>
      <c r="P21" s="34"/>
    </row>
    <row r="22" spans="2:22" ht="65.95" customHeight="1" thickBot="1" x14ac:dyDescent="0.3">
      <c r="B22" s="32"/>
      <c r="C22" s="33"/>
      <c r="D22" s="33"/>
      <c r="E22" s="33"/>
      <c r="F22" s="33"/>
      <c r="G22" s="58"/>
      <c r="H22" s="33"/>
      <c r="I22" s="33"/>
      <c r="J22" s="33"/>
      <c r="K22" s="33"/>
      <c r="L22" s="33"/>
      <c r="M22" s="33"/>
      <c r="N22" s="33"/>
      <c r="O22" s="33"/>
      <c r="P22" s="34"/>
    </row>
    <row r="23" spans="2:22" ht="102.85" customHeight="1" thickBot="1" x14ac:dyDescent="0.3">
      <c r="B23" s="32"/>
      <c r="C23" s="99" t="s">
        <v>50</v>
      </c>
      <c r="D23" s="2"/>
      <c r="E23" s="64" t="s">
        <v>218</v>
      </c>
      <c r="F23" s="2"/>
      <c r="G23" s="64" t="s">
        <v>219</v>
      </c>
      <c r="H23" s="2"/>
      <c r="I23" s="95" t="s">
        <v>220</v>
      </c>
      <c r="J23" s="54"/>
      <c r="K23" s="96" t="s">
        <v>221</v>
      </c>
      <c r="L23" s="54"/>
      <c r="M23" s="97" t="s">
        <v>222</v>
      </c>
      <c r="N23" s="54"/>
      <c r="O23" s="98" t="s">
        <v>223</v>
      </c>
      <c r="P23" s="34"/>
      <c r="Q23" s="47"/>
    </row>
    <row r="24" spans="2:22" ht="6.8" customHeight="1" x14ac:dyDescent="0.4">
      <c r="B24" s="32"/>
      <c r="C24" s="100"/>
      <c r="D24" s="3"/>
      <c r="E24" s="3"/>
      <c r="F24" s="3"/>
      <c r="G24" s="3"/>
      <c r="H24" s="3"/>
      <c r="I24" s="62"/>
      <c r="J24" s="3"/>
      <c r="K24" s="62"/>
      <c r="L24" s="3"/>
      <c r="M24" s="3"/>
      <c r="N24" s="3"/>
      <c r="O24" s="3"/>
      <c r="P24" s="34"/>
    </row>
    <row r="25" spans="2:22" ht="220.5" customHeight="1" x14ac:dyDescent="0.25">
      <c r="B25" s="32"/>
      <c r="C25" s="101" t="s">
        <v>44</v>
      </c>
      <c r="D25" s="1"/>
      <c r="E25" s="124" t="str">
        <f>+IF(Hoja1!$N$2&gt;=0.5,"Si","No")</f>
        <v>Si</v>
      </c>
      <c r="F25" s="53"/>
      <c r="G25" s="123">
        <f>+Hoja1!N2</f>
        <v>0.60416666666666663</v>
      </c>
      <c r="H25" s="53"/>
      <c r="I25" s="147" t="s">
        <v>346</v>
      </c>
      <c r="J25" s="61"/>
      <c r="K25" s="125">
        <v>0.01</v>
      </c>
      <c r="L25" s="51"/>
      <c r="M25" s="126" t="s">
        <v>352</v>
      </c>
      <c r="N25" s="60"/>
      <c r="O25" s="127">
        <f>G25-K25</f>
        <v>0.59416666666666662</v>
      </c>
      <c r="P25" s="36"/>
      <c r="Q25" s="38"/>
      <c r="R25" s="38"/>
      <c r="S25" s="38"/>
      <c r="T25" s="38"/>
      <c r="U25" s="38"/>
      <c r="V25" s="38"/>
    </row>
    <row r="26" spans="2:22" ht="6.8" customHeight="1" x14ac:dyDescent="0.4">
      <c r="B26" s="32"/>
      <c r="C26" s="100"/>
      <c r="D26" s="4"/>
      <c r="E26" s="5"/>
      <c r="F26" s="3"/>
      <c r="G26" s="50"/>
      <c r="H26" s="3"/>
      <c r="I26" s="63"/>
      <c r="J26" s="3"/>
      <c r="K26" s="62"/>
      <c r="L26" s="3"/>
      <c r="M26" s="6"/>
      <c r="N26" s="6"/>
      <c r="O26" s="65"/>
      <c r="P26" s="34"/>
    </row>
    <row r="27" spans="2:22" ht="128.30000000000001" customHeight="1" x14ac:dyDescent="0.3">
      <c r="B27" s="32"/>
      <c r="C27" s="102" t="s">
        <v>224</v>
      </c>
      <c r="D27" s="1"/>
      <c r="E27" s="124" t="str">
        <f>+IF(Hoja1!$N$26&gt;=0.5,"Si","No")</f>
        <v>No</v>
      </c>
      <c r="F27" s="3"/>
      <c r="G27" s="123">
        <f>+Hoja1!N26</f>
        <v>0.4264705882352941</v>
      </c>
      <c r="H27" s="3"/>
      <c r="I27" s="146" t="s">
        <v>347</v>
      </c>
      <c r="J27" s="3"/>
      <c r="K27" s="125">
        <v>0.01</v>
      </c>
      <c r="L27" s="52"/>
      <c r="M27" s="126" t="s">
        <v>352</v>
      </c>
      <c r="N27" s="60"/>
      <c r="O27" s="127">
        <f>G27-K27</f>
        <v>0.41647058823529409</v>
      </c>
      <c r="P27" s="34"/>
    </row>
    <row r="28" spans="2:22" ht="6.8" customHeight="1" x14ac:dyDescent="0.4">
      <c r="B28" s="32"/>
      <c r="C28" s="100"/>
      <c r="D28" s="4"/>
      <c r="E28" s="5"/>
      <c r="F28" s="3"/>
      <c r="G28" s="50"/>
      <c r="H28" s="3"/>
      <c r="I28" s="63"/>
      <c r="J28" s="3"/>
      <c r="K28" s="62"/>
      <c r="L28" s="3"/>
      <c r="M28" s="6"/>
      <c r="N28" s="6"/>
      <c r="O28" s="65"/>
      <c r="P28" s="34"/>
    </row>
    <row r="29" spans="2:22" ht="122.25" customHeight="1" x14ac:dyDescent="0.3">
      <c r="B29" s="32"/>
      <c r="C29" s="103" t="s">
        <v>225</v>
      </c>
      <c r="D29" s="1"/>
      <c r="E29" s="124" t="e">
        <f>+IF(Hoja1!$N$43&gt;=0.5,"Si","No")</f>
        <v>#REF!</v>
      </c>
      <c r="F29" s="3"/>
      <c r="G29" s="123" t="e">
        <f>+Hoja1!N43</f>
        <v>#REF!</v>
      </c>
      <c r="H29" s="3"/>
      <c r="I29" s="146" t="s">
        <v>348</v>
      </c>
      <c r="J29" s="3"/>
      <c r="K29" s="125">
        <v>0.21</v>
      </c>
      <c r="L29" s="52"/>
      <c r="M29" s="126" t="s">
        <v>352</v>
      </c>
      <c r="N29" s="60"/>
      <c r="O29" s="127" t="e">
        <f>G29-K29</f>
        <v>#REF!</v>
      </c>
      <c r="P29" s="34"/>
    </row>
    <row r="30" spans="2:22" ht="6.8" customHeight="1" x14ac:dyDescent="0.4">
      <c r="B30" s="32"/>
      <c r="C30" s="100"/>
      <c r="D30" s="4"/>
      <c r="E30" s="5"/>
      <c r="F30" s="3"/>
      <c r="G30" s="50"/>
      <c r="H30" s="3"/>
      <c r="I30" s="63"/>
      <c r="J30" s="3"/>
      <c r="K30" s="62"/>
      <c r="L30" s="3"/>
      <c r="M30" s="6"/>
      <c r="N30" s="6"/>
      <c r="O30" s="65"/>
      <c r="P30" s="34"/>
    </row>
    <row r="31" spans="2:22" ht="72" customHeight="1" x14ac:dyDescent="0.3">
      <c r="B31" s="32"/>
      <c r="C31" s="104" t="s">
        <v>226</v>
      </c>
      <c r="D31" s="1"/>
      <c r="E31" s="124" t="e">
        <f>+IF(Hoja1!$N$55&gt;=0.5,"Si","No")</f>
        <v>#REF!</v>
      </c>
      <c r="F31" s="3"/>
      <c r="G31" s="123" t="e">
        <f>+Hoja1!N55</f>
        <v>#REF!</v>
      </c>
      <c r="H31" s="3"/>
      <c r="I31" s="148" t="s">
        <v>349</v>
      </c>
      <c r="J31" s="3"/>
      <c r="K31" s="125">
        <v>0.1</v>
      </c>
      <c r="L31" s="52"/>
      <c r="M31" s="126" t="s">
        <v>352</v>
      </c>
      <c r="N31" s="60"/>
      <c r="O31" s="127" t="e">
        <f>G31-K31</f>
        <v>#REF!</v>
      </c>
      <c r="P31" s="34"/>
    </row>
    <row r="32" spans="2:22" ht="6.8" customHeight="1" x14ac:dyDescent="0.4">
      <c r="B32" s="32"/>
      <c r="C32" s="100"/>
      <c r="D32" s="4"/>
      <c r="E32" s="5"/>
      <c r="F32" s="3"/>
      <c r="G32" s="50"/>
      <c r="H32" s="3"/>
      <c r="I32" s="63"/>
      <c r="J32" s="3"/>
      <c r="K32" s="62"/>
      <c r="L32" s="3"/>
      <c r="M32" s="6"/>
      <c r="N32" s="6"/>
      <c r="O32" s="65"/>
      <c r="P32" s="34"/>
    </row>
    <row r="33" spans="2:16" ht="90.75" customHeight="1" thickBot="1" x14ac:dyDescent="0.3">
      <c r="B33" s="32"/>
      <c r="C33" s="105" t="s">
        <v>227</v>
      </c>
      <c r="D33" s="1"/>
      <c r="E33" s="124" t="e">
        <f>+IF(Hoja1!$N$69&gt;=0.5,"Si","No")</f>
        <v>#REF!</v>
      </c>
      <c r="F33" s="3"/>
      <c r="G33" s="123" t="e">
        <f>+Hoja1!N69</f>
        <v>#REF!</v>
      </c>
      <c r="H33" s="3"/>
      <c r="I33" s="149" t="s">
        <v>350</v>
      </c>
      <c r="J33" s="3"/>
      <c r="K33" s="125">
        <v>0.05</v>
      </c>
      <c r="L33" s="52"/>
      <c r="M33" s="126" t="s">
        <v>352</v>
      </c>
      <c r="N33" s="60"/>
      <c r="O33" s="127" t="e">
        <f>G33-K33</f>
        <v>#REF!</v>
      </c>
      <c r="P33" s="34"/>
    </row>
    <row r="34" spans="2:16" ht="15.55" x14ac:dyDescent="0.25">
      <c r="B34" s="32"/>
      <c r="C34" s="37"/>
      <c r="D34" s="37"/>
      <c r="E34" s="39"/>
      <c r="F34" s="33"/>
      <c r="G34" s="33"/>
      <c r="H34" s="33"/>
      <c r="I34" s="33"/>
      <c r="J34" s="33"/>
      <c r="K34" s="33"/>
      <c r="L34" s="33"/>
      <c r="M34" s="40"/>
      <c r="N34" s="40"/>
      <c r="O34" s="40"/>
      <c r="P34" s="34"/>
    </row>
    <row r="35" spans="2:16" ht="15.55" x14ac:dyDescent="0.25">
      <c r="B35" s="32"/>
      <c r="C35" s="41"/>
      <c r="D35" s="37"/>
      <c r="E35" s="39"/>
      <c r="F35" s="33"/>
      <c r="G35" s="33"/>
      <c r="H35" s="33"/>
      <c r="I35" s="33"/>
      <c r="J35" s="33"/>
      <c r="K35" s="33"/>
      <c r="L35" s="33"/>
      <c r="M35" s="40"/>
      <c r="N35" s="40"/>
      <c r="O35" s="40"/>
      <c r="P35" s="34"/>
    </row>
    <row r="36" spans="2:16" x14ac:dyDescent="0.25">
      <c r="B36" s="32"/>
      <c r="C36" s="42"/>
      <c r="D36" s="33"/>
      <c r="E36" s="33"/>
      <c r="F36" s="33"/>
      <c r="G36" s="33"/>
      <c r="H36" s="33"/>
      <c r="I36" s="33"/>
      <c r="J36" s="33"/>
      <c r="K36" s="33"/>
      <c r="L36" s="33"/>
      <c r="M36" s="33"/>
      <c r="N36" s="33"/>
      <c r="O36" s="33"/>
      <c r="P36" s="34"/>
    </row>
    <row r="37" spans="2:16" ht="13.25" thickBot="1" x14ac:dyDescent="0.3">
      <c r="B37" s="43"/>
      <c r="C37" s="44"/>
      <c r="D37" s="44"/>
      <c r="E37" s="44"/>
      <c r="F37" s="44"/>
      <c r="G37" s="44"/>
      <c r="H37" s="44"/>
      <c r="I37" s="44"/>
      <c r="J37" s="44"/>
      <c r="K37" s="44"/>
      <c r="L37" s="44"/>
      <c r="M37" s="44"/>
      <c r="N37" s="44"/>
      <c r="O37" s="44"/>
      <c r="P37" s="45"/>
    </row>
    <row r="38" spans="2:16" ht="13.25" thickTop="1" x14ac:dyDescent="0.25"/>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1"/>
  <ignoredErrors>
    <ignoredError sqref="O25 O27 O29 O31 O33"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8" operator="between" id="{AC1FC42B-E47F-4E28-8390-539A6FAE60AB}">
            <xm:f>0</xm:f>
            <xm:f>#REF!</xm:f>
            <x14:dxf>
              <fill>
                <patternFill>
                  <bgColor rgb="FFFF0000"/>
                </patternFill>
              </fill>
            </x14:dxf>
          </x14:cfRule>
          <xm:sqref>G25 G27 G29 G31 G33</xm:sqref>
        </x14:conditionalFormatting>
        <x14:conditionalFormatting xmlns:xm="http://schemas.microsoft.com/office/excel/2006/main">
          <x14:cfRule type="cellIs" priority="20" operator="between" id="{89B62F38-33F9-4807-A37E-FBE5EDA20BAD}">
            <xm:f>0</xm:f>
            <xm:f>#REF!</xm:f>
            <x14:dxf>
              <fill>
                <patternFill>
                  <bgColor rgb="FFFF0000"/>
                </patternFill>
              </fill>
            </x14:dxf>
          </x14:cfRule>
          <xm:sqref>K25</xm:sqref>
        </x14:conditionalFormatting>
        <x14:conditionalFormatting xmlns:xm="http://schemas.microsoft.com/office/excel/2006/main">
          <x14:cfRule type="cellIs" priority="16" operator="between" id="{74414D1A-6CA0-411B-BC54-8950C1BC70EC}">
            <xm:f>0</xm:f>
            <xm:f>#REF!</xm:f>
            <x14:dxf>
              <fill>
                <patternFill>
                  <bgColor rgb="FFFF0000"/>
                </patternFill>
              </fill>
            </x14:dxf>
          </x14:cfRule>
          <xm:sqref>K27</xm:sqref>
        </x14:conditionalFormatting>
        <x14:conditionalFormatting xmlns:xm="http://schemas.microsoft.com/office/excel/2006/main">
          <x14:cfRule type="cellIs" priority="12" operator="between" id="{23BFD082-B5A8-477C-BAD4-23E9934FFB34}">
            <xm:f>0</xm:f>
            <xm:f>#REF!</xm:f>
            <x14:dxf>
              <fill>
                <patternFill>
                  <bgColor rgb="FFFF0000"/>
                </patternFill>
              </fill>
            </x14:dxf>
          </x14:cfRule>
          <xm:sqref>K29</xm:sqref>
        </x14:conditionalFormatting>
        <x14:conditionalFormatting xmlns:xm="http://schemas.microsoft.com/office/excel/2006/main">
          <x14:cfRule type="cellIs" priority="8" operator="between" id="{E4CB7794-8664-4CFE-B341-1D3ADC132036}">
            <xm:f>0</xm:f>
            <xm:f>#REF!</xm:f>
            <x14:dxf>
              <fill>
                <patternFill>
                  <bgColor rgb="FFFF0000"/>
                </patternFill>
              </fill>
            </x14:dxf>
          </x14:cfRule>
          <xm:sqref>K31</xm:sqref>
        </x14:conditionalFormatting>
        <x14:conditionalFormatting xmlns:xm="http://schemas.microsoft.com/office/excel/2006/main">
          <x14:cfRule type="cellIs" priority="4" operator="between" id="{0B82901D-DF36-435F-9E16-6E092395D406}">
            <xm:f>0</xm:f>
            <xm:f>#REF!</xm:f>
            <x14:dxf>
              <fill>
                <patternFill>
                  <bgColor rgb="FFFF0000"/>
                </patternFill>
              </fill>
            </x14:dxf>
          </x14:cfRule>
          <xm:sqref>K33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4140625" defaultRowHeight="12.7" x14ac:dyDescent="0.25"/>
  <cols>
    <col min="2" max="4" width="22.33203125" customWidth="1"/>
    <col min="5" max="5" width="34.5546875" customWidth="1"/>
    <col min="6" max="6" width="36.44140625" bestFit="1" customWidth="1"/>
    <col min="8" max="8" width="12.33203125" bestFit="1" customWidth="1"/>
    <col min="9" max="9" width="12.6640625" customWidth="1"/>
    <col min="13" max="14" width="17.5546875" customWidth="1"/>
  </cols>
  <sheetData>
    <row r="1" spans="1:19" ht="81.8" customHeight="1" x14ac:dyDescent="0.25">
      <c r="A1" s="145" t="s">
        <v>111</v>
      </c>
      <c r="B1" s="145" t="s">
        <v>228</v>
      </c>
      <c r="C1" s="144" t="s">
        <v>229</v>
      </c>
      <c r="D1" s="144" t="s">
        <v>230</v>
      </c>
      <c r="E1" s="144" t="s">
        <v>231</v>
      </c>
      <c r="F1" s="145" t="s">
        <v>136</v>
      </c>
      <c r="G1" s="143" t="s">
        <v>232</v>
      </c>
      <c r="H1" s="143" t="s">
        <v>233</v>
      </c>
      <c r="I1" s="143" t="s">
        <v>234</v>
      </c>
      <c r="J1" s="143" t="s">
        <v>80</v>
      </c>
      <c r="K1" s="143" t="s">
        <v>89</v>
      </c>
      <c r="L1" s="143" t="s">
        <v>235</v>
      </c>
      <c r="M1" s="80" t="s">
        <v>236</v>
      </c>
      <c r="N1" s="80"/>
    </row>
    <row r="2" spans="1:19" ht="12.85" customHeight="1" x14ac:dyDescent="0.25">
      <c r="A2" s="131" t="s">
        <v>237</v>
      </c>
      <c r="B2" s="131" t="str">
        <f>+LEFT(A2,1)</f>
        <v>1</v>
      </c>
      <c r="C2" s="131"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31" t="s">
        <v>238</v>
      </c>
      <c r="E2" s="131" t="str">
        <f>+VLOOKUP(A2,'Ambiente de Control'!$B$21:$D$235,3,0)</f>
        <v>Dimensión Talento Humano
Política Integridad</v>
      </c>
      <c r="F2" s="131" t="str">
        <f>+VLOOKUP(A2,'Ambiente de Control'!$B$21:$K$235,10,0)</f>
        <v>Mantenimiento del control</v>
      </c>
      <c r="G2" s="131">
        <f>+VLOOKUP(A2,'Ambiente de Control'!$B$21:$O$39,13)</f>
        <v>60.045870000000001</v>
      </c>
      <c r="H2" s="133" t="e">
        <f>+_xlfn.RANK.EQ(G2,$G$2:$G$82,1)</f>
        <v>#REF!</v>
      </c>
      <c r="I2" s="131" t="str">
        <f t="shared" ref="I2:I33" si="0">+IF(F2=$F$2,$P$4,IF(F2=$F$3,$P$2,$P$3))</f>
        <v>Cuando en el análisis de los requerimientos en los diferenes componentes del MECI se cuente con aspectos evaluados en nivel 1 (presente) y 1 (funcionando); 2 (presente) y 1 (funcionando).</v>
      </c>
      <c r="J2" s="131" t="s">
        <v>239</v>
      </c>
      <c r="K2" s="131">
        <f>+IF(ISBLANK(VLOOKUP(A2,'Ambiente de Control'!$B$24:$F$235,5,0)),"",VLOOKUP(A2,'Ambiente de Control'!$B$24:$F$235,5,0))</f>
        <v>3</v>
      </c>
      <c r="L2" s="131">
        <f>+IF(ISBLANK(VLOOKUP(A2,'Ambiente de Control'!$B$24:$K$235,9,0)),"",VLOOKUP(A2,'Ambiente de Control'!$B$24:$K$235,9,0))</f>
        <v>3</v>
      </c>
      <c r="M2" s="131">
        <f t="shared" ref="M2" si="1">+IF(OR(AND(K2=1,L2=1),AND(ISBLANK(K2),ISBLANK(L2)),K2="",L2=""),0,IF(OR(AND(K2=1,L2=2),AND(K2=1,L2=3)),0.25,IF(OR(AND(K2=2,L2=2),AND(K2=3,L2=1),AND(K2=3,L2=2),AND(K2=2,L2=1)),0.5,IF(AND(K2=2,L2=3),0.75,1))))</f>
        <v>1</v>
      </c>
      <c r="N2" s="131">
        <f>+AVERAGEIF($D$2:$D$82,D2,$M$2:$M$82)</f>
        <v>0.60416666666666663</v>
      </c>
      <c r="O2" s="129" t="s">
        <v>27</v>
      </c>
      <c r="P2" s="130" t="s">
        <v>240</v>
      </c>
      <c r="Q2" s="130"/>
      <c r="R2" s="131"/>
      <c r="S2" s="131"/>
    </row>
    <row r="3" spans="1:19" ht="12.85" customHeight="1" x14ac:dyDescent="0.25">
      <c r="A3" s="131" t="s">
        <v>241</v>
      </c>
      <c r="B3" s="131" t="str">
        <f t="shared" ref="B3:B42" si="2">+LEFT(A3,1)</f>
        <v>1</v>
      </c>
      <c r="C3" s="131" t="str">
        <f>+MID(VLOOKUP(A3,'Ambiente de Control'!$B$21:$C$235,2,0),4,LEN(VLOOKUP(A3,'Ambiente de Control'!$B$21:$C$235,2,0))-4)</f>
        <v xml:space="preserve"> Mecanismos para el manejo de conflictos de interés.</v>
      </c>
      <c r="D3" s="131" t="s">
        <v>238</v>
      </c>
      <c r="E3" s="131" t="str">
        <f>+VLOOKUP(A3,'Ambiente de Control'!$B$21:$D$235,3,0)</f>
        <v>Dimensión Talento Humano
Política Integridad</v>
      </c>
      <c r="F3" s="131" t="str">
        <f>+VLOOKUP(A3,'Ambiente de Control'!$B$21:$K$235,10,0)</f>
        <v>Deficiencia de control (diseño o ejecución)</v>
      </c>
      <c r="G3" s="131">
        <f>+VLOOKUP(A3,'Ambiente de Control'!$B$21:$O$235,13,0)</f>
        <v>20.055689999999998</v>
      </c>
      <c r="H3" s="133" t="e">
        <f t="shared" ref="H3:H70" si="3">+_xlfn.RANK.EQ(G3,$G$2:$G$82,1)</f>
        <v>#REF!</v>
      </c>
      <c r="I3" s="131" t="str">
        <f t="shared" si="0"/>
        <v>Cuando en el análisis de los requerimientos en los diferenes componentes del MECI se cuente con aspectos evaluados en nivel 2 (presente) y 3 (funcionando).</v>
      </c>
      <c r="J3" s="131" t="s">
        <v>239</v>
      </c>
      <c r="K3" s="131">
        <f>+IF(ISBLANK(VLOOKUP(A3,'Ambiente de Control'!$B$24:$F$235,5,0)),"",VLOOKUP(A3,'Ambiente de Control'!$B$24:$F$235,5,0))</f>
        <v>2</v>
      </c>
      <c r="L3" s="131">
        <f>+IF(ISBLANK(VLOOKUP(A3,'Ambiente de Control'!$B$24:$K$235,9,0)),"",VLOOKUP(A3,'Ambiente de Control'!$B$24:$K$235,9,0))</f>
        <v>2</v>
      </c>
      <c r="M3" s="131">
        <f>+IF(OR(AND(K3=1,L3=1),AND(ISBLANK(K3),ISBLANK(L3)),K3="",L3=""),0,IF(OR(AND(K3=1,L3=2),AND(K3=1,L3=3)),0.25,IF(OR(AND(K3=2,L3=2),AND(K3=3,L3=1),AND(K3=3,L3=2),AND(K3=2,L3=1)),0.5,IF(AND(K3=2,L3=3),0.75,1))))</f>
        <v>0.5</v>
      </c>
      <c r="N3" s="131">
        <f t="shared" ref="N3:N70" si="4">+AVERAGEIF($D$2:$D$82,D3,$M$2:$M$82)</f>
        <v>0.60416666666666663</v>
      </c>
      <c r="O3" s="132" t="s">
        <v>30</v>
      </c>
      <c r="P3" s="130" t="s">
        <v>242</v>
      </c>
      <c r="Q3" s="130"/>
      <c r="R3" s="131" t="s">
        <v>243</v>
      </c>
      <c r="S3" s="131"/>
    </row>
    <row r="4" spans="1:19" ht="16.600000000000001" customHeight="1" x14ac:dyDescent="0.25">
      <c r="A4" s="131" t="s">
        <v>244</v>
      </c>
      <c r="B4" s="131" t="str">
        <f t="shared" si="2"/>
        <v>1</v>
      </c>
      <c r="C4" s="131"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31" t="s">
        <v>238</v>
      </c>
      <c r="E4" s="131" t="str">
        <f>+VLOOKUP(A4,'Ambiente de Control'!$B$21:$D$235,3,0)</f>
        <v>Dimensión Información y Comunicación
Política Transparencia y Acceso a la Información Pública
Política Gestión Documental</v>
      </c>
      <c r="F4" s="131" t="str">
        <f>+VLOOKUP(A4,'Ambiente de Control'!$B$21:$K$235,10,0)</f>
        <v>Deficiencia de control (diseño o ejecución)</v>
      </c>
      <c r="G4" s="131">
        <f>+VLOOKUP(A4,'Ambiente de Control'!$B$21:$O$235,13,0)</f>
        <v>20.066896</v>
      </c>
      <c r="H4" s="133" t="e">
        <f t="shared" si="3"/>
        <v>#REF!</v>
      </c>
      <c r="I4" s="131" t="str">
        <f t="shared" si="0"/>
        <v>Cuando en el análisis de los requerimientos en los diferenes componentes del MECI se cuente con aspectos evaluados en nivel 2 (presente) y 3 (funcionando).</v>
      </c>
      <c r="J4" s="131" t="s">
        <v>239</v>
      </c>
      <c r="K4" s="131">
        <f>+IF(ISBLANK(VLOOKUP(A4,'Ambiente de Control'!$B$24:$F$235,5,0)),"",VLOOKUP(A4,'Ambiente de Control'!$B$24:$F$235,5,0))</f>
        <v>3</v>
      </c>
      <c r="L4" s="131">
        <f>+IF(ISBLANK(VLOOKUP(A4,'Ambiente de Control'!$B$24:$K$235,9,0)),"",VLOOKUP(A4,'Ambiente de Control'!$B$24:$K$235,9,0))</f>
        <v>2</v>
      </c>
      <c r="M4" s="131">
        <f t="shared" ref="M4:M67" si="5">+IF(OR(AND(K4=1,L4=1),AND(ISBLANK(K4),ISBLANK(L4)),K4="",L4=""),0,IF(OR(AND(K4=1,L4=2),AND(K4=1,L4=3)),0.25,IF(OR(AND(K4=2,L4=2),AND(K4=3,L4=1),AND(K4=3,L4=2),AND(K4=2,L4=1)),0.5,IF(AND(K4=2,L4=3),0.75,1))))</f>
        <v>0.5</v>
      </c>
      <c r="N4" s="131">
        <f t="shared" si="4"/>
        <v>0.60416666666666663</v>
      </c>
      <c r="O4" s="132" t="s">
        <v>33</v>
      </c>
      <c r="P4" s="130" t="s">
        <v>245</v>
      </c>
      <c r="Q4" s="130"/>
      <c r="R4" s="131"/>
      <c r="S4" s="131"/>
    </row>
    <row r="5" spans="1:19" x14ac:dyDescent="0.25">
      <c r="A5" s="131" t="s">
        <v>246</v>
      </c>
      <c r="B5" s="131" t="str">
        <f t="shared" si="2"/>
        <v>1</v>
      </c>
      <c r="C5" s="131" t="str">
        <f>+MID(VLOOKUP(A5,'Ambiente de Control'!$B$21:$C$235,2,0),4,LEN(VLOOKUP(A5,'Ambiente de Control'!$B$21:$C$235,2,0))-4)</f>
        <v xml:space="preserve"> La evaluación de las acciones transversales de integridad, mediante el monitoreo permanente de los riesgos de corrupción.</v>
      </c>
      <c r="D5" s="131" t="s">
        <v>238</v>
      </c>
      <c r="E5" s="131" t="str">
        <f>+VLOOKUP(A5,'Ambiente de Control'!$B$21:$D$235,3,0)</f>
        <v>Dimension Talento Humano
Politica de Integridad</v>
      </c>
      <c r="F5" s="131" t="str">
        <f>+VLOOKUP(A5,'Ambiente de Control'!$B$21:$K$235,10,0)</f>
        <v>Deficiencia de control (diseño o ejecución)</v>
      </c>
      <c r="G5" s="131">
        <f>+VLOOKUP(A5,'Ambiente de Control'!$B$21:$O$235,13,0)</f>
        <v>20.06691</v>
      </c>
      <c r="H5" s="133" t="e">
        <f t="shared" si="3"/>
        <v>#REF!</v>
      </c>
      <c r="I5" s="131" t="str">
        <f t="shared" si="0"/>
        <v>Cuando en el análisis de los requerimientos en los diferenes componentes del MECI se cuente con aspectos evaluados en nivel 2 (presente) y 3 (funcionando).</v>
      </c>
      <c r="J5" s="131" t="s">
        <v>239</v>
      </c>
      <c r="K5" s="131">
        <f>+IF(ISBLANK(VLOOKUP(A5,'Ambiente de Control'!$B$24:$F$235,5,0)),"",VLOOKUP(A5,'Ambiente de Control'!$B$24:$F$235,5,0))</f>
        <v>2</v>
      </c>
      <c r="L5" s="131">
        <f>+IF(ISBLANK(VLOOKUP(A5,'Ambiente de Control'!$B$24:$K$235,9,0)),"",VLOOKUP(A5,'Ambiente de Control'!$B$24:$K$235,9,0))</f>
        <v>2</v>
      </c>
      <c r="M5" s="131">
        <f t="shared" si="5"/>
        <v>0.5</v>
      </c>
      <c r="N5" s="131">
        <f t="shared" si="4"/>
        <v>0.60416666666666663</v>
      </c>
      <c r="O5" s="131"/>
      <c r="P5" s="131"/>
    </row>
    <row r="6" spans="1:19" x14ac:dyDescent="0.25">
      <c r="A6" s="131" t="s">
        <v>247</v>
      </c>
      <c r="B6" s="131" t="str">
        <f t="shared" si="2"/>
        <v>1</v>
      </c>
      <c r="C6" s="131"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31" t="s">
        <v>238</v>
      </c>
      <c r="E6" s="131" t="str">
        <f>+VLOOKUP(A6,'Ambiente de Control'!$B$21:$D$235,3,0)</f>
        <v>Dimensión Direccionamiento Estratégico y Planeación
Plan Anticorrupción y de Atención al Ciudadano</v>
      </c>
      <c r="F6" s="131" t="str">
        <f>+VLOOKUP(A6,'Ambiente de Control'!$B$21:$K$235,10,0)</f>
        <v>Deficiencia de control (diseño o ejecución)</v>
      </c>
      <c r="G6" s="131">
        <f>+VLOOKUP(A6,'Ambiente de Control'!$B$21:$O$235,13,0)</f>
        <v>20.073568999999999</v>
      </c>
      <c r="H6" s="133" t="e">
        <f t="shared" si="3"/>
        <v>#REF!</v>
      </c>
      <c r="I6" s="131" t="str">
        <f t="shared" si="0"/>
        <v>Cuando en el análisis de los requerimientos en los diferenes componentes del MECI se cuente con aspectos evaluados en nivel 2 (presente) y 3 (funcionando).</v>
      </c>
      <c r="J6" s="131" t="s">
        <v>239</v>
      </c>
      <c r="K6" s="131">
        <f>+IF(ISBLANK(VLOOKUP(A6,'Ambiente de Control'!$B$24:$F$235,5,0)),"",VLOOKUP(A6,'Ambiente de Control'!$B$24:$F$235,5,0))</f>
        <v>2</v>
      </c>
      <c r="L6" s="131">
        <f>+IF(ISBLANK(VLOOKUP(A6,'Ambiente de Control'!$B$24:$K$235,9,0)),"",VLOOKUP(A6,'Ambiente de Control'!$B$24:$K$235,9,0))</f>
        <v>2</v>
      </c>
      <c r="M6" s="131">
        <f t="shared" si="5"/>
        <v>0.5</v>
      </c>
      <c r="N6" s="131">
        <f t="shared" si="4"/>
        <v>0.60416666666666663</v>
      </c>
      <c r="O6" s="131"/>
      <c r="P6" s="131"/>
    </row>
    <row r="7" spans="1:19" x14ac:dyDescent="0.25">
      <c r="A7" s="131" t="s">
        <v>248</v>
      </c>
      <c r="B7" s="131" t="str">
        <f t="shared" si="2"/>
        <v>2</v>
      </c>
      <c r="C7" s="131"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31" t="s">
        <v>238</v>
      </c>
      <c r="E7" s="131" t="str">
        <f>+VLOOKUP(A7,'Ambiente de Control'!$B$21:$D$235,3,0)</f>
        <v>Dimension Control Interno
Politica de Control Interno</v>
      </c>
      <c r="F7" s="131" t="str">
        <f>+VLOOKUP(A7,'Ambiente de Control'!$B$21:$K$235,10,0)</f>
        <v>Mantenimiento del control</v>
      </c>
      <c r="G7" s="131">
        <f>+VLOOKUP(A7,'Ambiente de Control'!$B$21:$O$235,13,0)</f>
        <v>60.088965299999998</v>
      </c>
      <c r="H7" s="133" t="e">
        <f t="shared" si="3"/>
        <v>#REF!</v>
      </c>
      <c r="I7" s="131" t="str">
        <f t="shared" si="0"/>
        <v>Cuando en el análisis de los requerimientos en los diferenes componentes del MECI se cuente con aspectos evaluados en nivel 1 (presente) y 1 (funcionando); 2 (presente) y 1 (funcionando).</v>
      </c>
      <c r="J7" s="131" t="s">
        <v>249</v>
      </c>
      <c r="K7" s="131">
        <f>+IF(ISBLANK(VLOOKUP(A7,'Ambiente de Control'!$B$24:$F$235,5,0)),"",VLOOKUP(A7,'Ambiente de Control'!$B$24:$F$235,5,0))</f>
        <v>3</v>
      </c>
      <c r="L7" s="131">
        <f>+IF(ISBLANK(VLOOKUP(A7,'Ambiente de Control'!$B$24:$K$235,9,0)),"",VLOOKUP(A7,'Ambiente de Control'!$B$24:$K$235,9,0))</f>
        <v>3</v>
      </c>
      <c r="M7" s="131">
        <f t="shared" si="5"/>
        <v>1</v>
      </c>
      <c r="N7" s="131">
        <f t="shared" si="4"/>
        <v>0.60416666666666663</v>
      </c>
      <c r="O7" s="131"/>
      <c r="P7" s="131"/>
    </row>
    <row r="8" spans="1:19" x14ac:dyDescent="0.25">
      <c r="A8" s="131" t="s">
        <v>250</v>
      </c>
      <c r="B8" s="131" t="str">
        <f t="shared" si="2"/>
        <v>2</v>
      </c>
      <c r="C8" s="131" t="str">
        <f>+MID(VLOOKUP(A8,'Ambiente de Control'!$B$21:$C$235,2,0),4,LEN(VLOOKUP(A8,'Ambiente de Control'!$B$21:$C$235,2,0))-4)</f>
        <v xml:space="preserve"> Definición y documentación del Esquema de Líneas de Defens</v>
      </c>
      <c r="D8" s="131" t="s">
        <v>238</v>
      </c>
      <c r="E8" s="131" t="str">
        <f>+VLOOKUP(A8,'Ambiente de Control'!$B$21:$D$235,3,0)</f>
        <v>Dimension Control Interno
Politica de Control Interno
Lineas de defensa</v>
      </c>
      <c r="F8" s="131" t="str">
        <f>+VLOOKUP(A8,'Ambiente de Control'!$B$21:$K$235,10,0)</f>
        <v>Deficiencia de control mayor (diseño y ejecución)</v>
      </c>
      <c r="G8" s="131">
        <f>+VLOOKUP(A8,'Ambiente de Control'!$B$21:$O$235,13,0)</f>
        <v>4.0989652999999997</v>
      </c>
      <c r="H8" s="133" t="e">
        <f t="shared" si="3"/>
        <v>#REF!</v>
      </c>
      <c r="I8" s="131" t="str">
        <f t="shared" si="0"/>
        <v>Cuando en el análisis de los requerimientos en los diferenes componentes del MECI se cuente con aspectos evaluados en nivel 2 (presente) y 2 (funcionando); 3 (presente) y 1 (funcionando); 3 (presente) y 2 (funcionando).</v>
      </c>
      <c r="J8" s="131" t="s">
        <v>249</v>
      </c>
      <c r="K8" s="131">
        <f>+IF(ISBLANK(VLOOKUP(A8,'Ambiente de Control'!$B$24:$F$235,5,0)),"",VLOOKUP(A8,'Ambiente de Control'!$B$24:$F$235,5,0))</f>
        <v>1</v>
      </c>
      <c r="L8" s="131">
        <f>+IF(ISBLANK(VLOOKUP(A8,'Ambiente de Control'!$B$24:$K$235,9,0)),"",VLOOKUP(A8,'Ambiente de Control'!$B$24:$K$235,9,0))</f>
        <v>1</v>
      </c>
      <c r="M8" s="131">
        <f t="shared" si="5"/>
        <v>0</v>
      </c>
      <c r="N8" s="131">
        <f t="shared" si="4"/>
        <v>0.60416666666666663</v>
      </c>
      <c r="O8" s="131"/>
      <c r="P8" s="131"/>
    </row>
    <row r="9" spans="1:19" x14ac:dyDescent="0.25">
      <c r="A9" s="131" t="s">
        <v>251</v>
      </c>
      <c r="B9" s="131" t="str">
        <f t="shared" si="2"/>
        <v>2</v>
      </c>
      <c r="C9" s="131" t="str">
        <f>+MID(VLOOKUP(A9,'Ambiente de Control'!$B$21:$C$235,2,0),4,LEN(VLOOKUP(A9,'Ambiente de Control'!$B$21:$C$235,2,0))-4)</f>
        <v xml:space="preserve"> Definición de líneas de reporte en temas clave para la toma de decisiones, atendiendo el Esquema de Líneas de Defens</v>
      </c>
      <c r="D9" s="131" t="s">
        <v>238</v>
      </c>
      <c r="E9" s="131" t="str">
        <f>+VLOOKUP(A9,'Ambiente de Control'!$B$21:$D$235,3,0)</f>
        <v>Dimension Control Interno
Politica de Control Interno
Linea de Defensa
Dimension de Informaciòn y Comunicaciòn</v>
      </c>
      <c r="F9" s="131" t="str">
        <f>+VLOOKUP(A9,'Ambiente de Control'!$B$21:$K$235,10,0)</f>
        <v>Deficiencia de control (diseño o ejecución)</v>
      </c>
      <c r="G9" s="131">
        <f>+VLOOKUP(A9,'Ambiente de Control'!$B$21:$O$235,13,0)</f>
        <v>20.156980000000001</v>
      </c>
      <c r="H9" s="133" t="e">
        <f t="shared" si="3"/>
        <v>#REF!</v>
      </c>
      <c r="I9" s="131" t="str">
        <f t="shared" si="0"/>
        <v>Cuando en el análisis de los requerimientos en los diferenes componentes del MECI se cuente con aspectos evaluados en nivel 2 (presente) y 3 (funcionando).</v>
      </c>
      <c r="J9" s="131" t="s">
        <v>249</v>
      </c>
      <c r="K9" s="131">
        <f>+IF(ISBLANK(VLOOKUP(A9,'Ambiente de Control'!$B$24:$F$235,5,0)),"",VLOOKUP(A9,'Ambiente de Control'!$B$24:$F$235,5,0))</f>
        <v>2</v>
      </c>
      <c r="L9" s="131">
        <f>+IF(ISBLANK(VLOOKUP(A9,'Ambiente de Control'!$B$24:$K$235,9,0)),"",VLOOKUP(A9,'Ambiente de Control'!$B$24:$K$235,9,0))</f>
        <v>2</v>
      </c>
      <c r="M9" s="131">
        <f t="shared" si="5"/>
        <v>0.5</v>
      </c>
      <c r="N9" s="131">
        <f t="shared" si="4"/>
        <v>0.60416666666666663</v>
      </c>
      <c r="O9" s="131"/>
      <c r="P9" s="131"/>
    </row>
    <row r="10" spans="1:19" x14ac:dyDescent="0.25">
      <c r="A10" s="131" t="s">
        <v>252</v>
      </c>
      <c r="B10" s="131" t="str">
        <f t="shared" si="2"/>
        <v>3</v>
      </c>
      <c r="C10" s="131"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31" t="s">
        <v>238</v>
      </c>
      <c r="E10" s="131" t="str">
        <f>+VLOOKUP(A10,'Ambiente de Control'!$B$21:$D$235,3,0)</f>
        <v>Dimension de Direccionamiento Estrategico y Planeaciòn
Politica de Planeaciòn Institucional 
Dimension Control Interno</v>
      </c>
      <c r="F10" s="131" t="str">
        <f>+VLOOKUP(A10,'Ambiente de Control'!$B$21:$K$235,10,0)</f>
        <v>Deficiencia de control (diseño o ejecución)</v>
      </c>
      <c r="G10" s="131">
        <f>+VLOOKUP(A10,'Ambiente de Control'!$B$21:$O$235,13,0)</f>
        <v>20.289650000000002</v>
      </c>
      <c r="H10" s="133" t="e">
        <f t="shared" si="3"/>
        <v>#REF!</v>
      </c>
      <c r="I10" s="131" t="str">
        <f t="shared" si="0"/>
        <v>Cuando en el análisis de los requerimientos en los diferenes componentes del MECI se cuente con aspectos evaluados en nivel 2 (presente) y 3 (funcionando).</v>
      </c>
      <c r="J10" s="131" t="s">
        <v>253</v>
      </c>
      <c r="K10" s="131">
        <f>+IF(ISBLANK(VLOOKUP(A10,'Ambiente de Control'!$B$24:$F$235,5,0)),"",VLOOKUP(A10,'Ambiente de Control'!$B$24:$F$235,5,0))</f>
        <v>2</v>
      </c>
      <c r="L10" s="131">
        <f>+IF(ISBLANK(VLOOKUP(A10,'Ambiente de Control'!$B$24:$K$235,9,0)),"",VLOOKUP(A10,'Ambiente de Control'!$B$24:$K$235,9,0))</f>
        <v>2</v>
      </c>
      <c r="M10" s="131">
        <f t="shared" si="5"/>
        <v>0.5</v>
      </c>
      <c r="N10" s="131">
        <f t="shared" si="4"/>
        <v>0.60416666666666663</v>
      </c>
      <c r="O10" s="131"/>
      <c r="P10" s="131"/>
    </row>
    <row r="11" spans="1:19" x14ac:dyDescent="0.25">
      <c r="A11" s="131" t="s">
        <v>254</v>
      </c>
      <c r="B11" s="131" t="str">
        <f t="shared" si="2"/>
        <v>3</v>
      </c>
      <c r="C11" s="131"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31" t="s">
        <v>238</v>
      </c>
      <c r="E11" s="131" t="str">
        <f>+VLOOKUP(A11,'Ambiente de Control'!$B$21:$D$235,3,0)</f>
        <v>Diimensiòn Evaluacion de Resultados 
Politica de Seguimiento y Evaluaciòn al Desemepeño Institucional
Dimension Control Interno
Lineas de defensa</v>
      </c>
      <c r="F11" s="131" t="str">
        <f>+VLOOKUP(A11,'Ambiente de Control'!$B$21:$K$235,10,0)</f>
        <v>Mantenimiento del control</v>
      </c>
      <c r="G11" s="131">
        <f>+VLOOKUP(A11,'Ambiente de Control'!$B$21:$O$235,13,0)</f>
        <v>60.489649999999997</v>
      </c>
      <c r="H11" s="133" t="e">
        <f t="shared" si="3"/>
        <v>#REF!</v>
      </c>
      <c r="I11" s="131" t="str">
        <f t="shared" si="0"/>
        <v>Cuando en el análisis de los requerimientos en los diferenes componentes del MECI se cuente con aspectos evaluados en nivel 1 (presente) y 1 (funcionando); 2 (presente) y 1 (funcionando).</v>
      </c>
      <c r="J11" s="131" t="s">
        <v>253</v>
      </c>
      <c r="K11" s="131">
        <f>+IF(ISBLANK(VLOOKUP(A11,'Ambiente de Control'!$B$24:$F$235,5,0)),"",VLOOKUP(A11,'Ambiente de Control'!$B$24:$F$235,5,0))</f>
        <v>3</v>
      </c>
      <c r="L11" s="131">
        <f>+IF(ISBLANK(VLOOKUP(A11,'Ambiente de Control'!$B$24:$K$235,9,0)),"",VLOOKUP(A11,'Ambiente de Control'!$B$24:$K$235,9,0))</f>
        <v>3</v>
      </c>
      <c r="M11" s="131">
        <f t="shared" si="5"/>
        <v>1</v>
      </c>
      <c r="N11" s="131">
        <f t="shared" si="4"/>
        <v>0.60416666666666663</v>
      </c>
      <c r="O11" s="131"/>
      <c r="P11" s="131"/>
    </row>
    <row r="12" spans="1:19" x14ac:dyDescent="0.25">
      <c r="A12" s="131" t="s">
        <v>255</v>
      </c>
      <c r="B12" s="131" t="str">
        <f t="shared" si="2"/>
        <v>3</v>
      </c>
      <c r="C12" s="131"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31" t="s">
        <v>238</v>
      </c>
      <c r="E12" s="131" t="str">
        <f>+VLOOKUP(A12,'Ambiente de Control'!$B$21:$D$235,3,0)</f>
        <v>Dimension Control Interno
Politica de Control Interno
Linea Estrategica</v>
      </c>
      <c r="F12" s="131" t="str">
        <f>+VLOOKUP(A12,'Ambiente de Control'!$B$21:$K$235,10,0)</f>
        <v>Deficiencia de control (diseño o ejecución)</v>
      </c>
      <c r="G12" s="131">
        <f>+VLOOKUP(A12,'Ambiente de Control'!$B$21:$O$235,13,0)</f>
        <v>20.389652999999999</v>
      </c>
      <c r="H12" s="133" t="e">
        <f t="shared" si="3"/>
        <v>#REF!</v>
      </c>
      <c r="I12" s="131" t="str">
        <f t="shared" si="0"/>
        <v>Cuando en el análisis de los requerimientos en los diferenes componentes del MECI se cuente con aspectos evaluados en nivel 2 (presente) y 3 (funcionando).</v>
      </c>
      <c r="J12" s="131" t="s">
        <v>253</v>
      </c>
      <c r="K12" s="131">
        <f>+IF(ISBLANK(VLOOKUP(A12,'Ambiente de Control'!$B$24:$F$235,5,0)),"",VLOOKUP(A12,'Ambiente de Control'!$B$24:$F$235,5,0))</f>
        <v>2</v>
      </c>
      <c r="L12" s="131">
        <f>+IF(ISBLANK(VLOOKUP(A12,'Ambiente de Control'!$B$24:$K$235,9,0)),"",VLOOKUP(A12,'Ambiente de Control'!$B$24:$K$235,9,0))</f>
        <v>2</v>
      </c>
      <c r="M12" s="131">
        <f t="shared" si="5"/>
        <v>0.5</v>
      </c>
      <c r="N12" s="131">
        <f t="shared" si="4"/>
        <v>0.60416666666666663</v>
      </c>
      <c r="O12" s="131"/>
      <c r="P12" s="131"/>
    </row>
    <row r="13" spans="1:19" x14ac:dyDescent="0.25">
      <c r="A13" s="131" t="s">
        <v>256</v>
      </c>
      <c r="B13" s="131" t="str">
        <f t="shared" si="2"/>
        <v>4</v>
      </c>
      <c r="C13" s="131" t="str">
        <f>+MID(VLOOKUP(A13,'Ambiente de Control'!$B$21:$C$235,2,0),4,LEN(VLOOKUP(A13,'Ambiente de Control'!$B$21:$C$235,2,0))-4)</f>
        <v xml:space="preserve"> Evaluación de la Planeación Estratégica del Talento Humano</v>
      </c>
      <c r="D13" s="131" t="s">
        <v>238</v>
      </c>
      <c r="E13" s="131" t="str">
        <f>+VLOOKUP(A13,'Ambiente de Control'!$B$21:$D$235,3,0)</f>
        <v>Dimension de Talento Humano
Politica Gestion Estrategica del Talento Humano
Dimension de Control Interno
Lineas de Defensa</v>
      </c>
      <c r="F13" s="131" t="str">
        <f>+VLOOKUP(A13,'Ambiente de Control'!$B$21:$K$235,10,0)</f>
        <v>Deficiencia de control (diseño o ejecución)</v>
      </c>
      <c r="G13" s="131">
        <f>+VLOOKUP(A13,'Ambiente de Control'!$B$21:$O$235,13,0)</f>
        <v>20.589649999999999</v>
      </c>
      <c r="H13" s="133" t="e">
        <f t="shared" si="3"/>
        <v>#REF!</v>
      </c>
      <c r="I13" s="131" t="str">
        <f t="shared" si="0"/>
        <v>Cuando en el análisis de los requerimientos en los diferenes componentes del MECI se cuente con aspectos evaluados en nivel 2 (presente) y 3 (funcionando).</v>
      </c>
      <c r="J13" s="131" t="s">
        <v>257</v>
      </c>
      <c r="K13" s="131">
        <f>+IF(ISBLANK(VLOOKUP(A13,'Ambiente de Control'!$B$24:$F$235,5,0)),"",VLOOKUP(A13,'Ambiente de Control'!$B$24:$F$235,5,0))</f>
        <v>2</v>
      </c>
      <c r="L13" s="131">
        <f>+IF(ISBLANK(VLOOKUP(A13,'Ambiente de Control'!$B$24:$K$235,9,0)),"",VLOOKUP(A13,'Ambiente de Control'!$B$24:$K$235,9,0))</f>
        <v>2</v>
      </c>
      <c r="M13" s="131">
        <f t="shared" si="5"/>
        <v>0.5</v>
      </c>
      <c r="N13" s="131">
        <f t="shared" si="4"/>
        <v>0.60416666666666663</v>
      </c>
      <c r="O13" s="131"/>
      <c r="P13" s="131"/>
    </row>
    <row r="14" spans="1:19" x14ac:dyDescent="0.25">
      <c r="A14" s="131" t="s">
        <v>258</v>
      </c>
      <c r="B14" s="131" t="str">
        <f t="shared" si="2"/>
        <v>4</v>
      </c>
      <c r="C14" s="131" t="str">
        <f>+MID(VLOOKUP(A14,'Ambiente de Control'!$B$21:$C$235,2,0),4,LEN(VLOOKUP(A14,'Ambiente de Control'!$B$21:$C$235,2,0))-4)</f>
        <v xml:space="preserve"> Evaluación de las actividades relacionadas con el Ingreso del personal</v>
      </c>
      <c r="D14" s="131" t="s">
        <v>238</v>
      </c>
      <c r="E14" s="131" t="str">
        <f>+VLOOKUP(A14,'Ambiente de Control'!$B$21:$D$235,3,0)</f>
        <v>Dimension de Talento Humano
Politica Gestion Estrategica del Talento Humano
Dimension de Control Interno
Lineas de Defensa</v>
      </c>
      <c r="F14" s="131" t="str">
        <f>+VLOOKUP(A14,'Ambiente de Control'!$B$21:$K$235,10,0)</f>
        <v>Mantenimiento del control</v>
      </c>
      <c r="G14" s="131">
        <f>+VLOOKUP(A14,'Ambiente de Control'!$B$21:$O$235,13,0)</f>
        <v>60.68965</v>
      </c>
      <c r="H14" s="133" t="e">
        <f t="shared" si="3"/>
        <v>#REF!</v>
      </c>
      <c r="I14" s="131" t="str">
        <f t="shared" si="0"/>
        <v>Cuando en el análisis de los requerimientos en los diferenes componentes del MECI se cuente con aspectos evaluados en nivel 1 (presente) y 1 (funcionando); 2 (presente) y 1 (funcionando).</v>
      </c>
      <c r="J14" s="131" t="s">
        <v>257</v>
      </c>
      <c r="K14" s="131">
        <f>+IF(ISBLANK(VLOOKUP(A14,'Ambiente de Control'!$B$24:$F$235,5,0)),"",VLOOKUP(A14,'Ambiente de Control'!$B$24:$F$235,5,0))</f>
        <v>3</v>
      </c>
      <c r="L14" s="131">
        <f>+IF(ISBLANK(VLOOKUP(A14,'Ambiente de Control'!$B$24:$K$235,9,0)),"",VLOOKUP(A14,'Ambiente de Control'!$B$24:$K$235,9,0))</f>
        <v>3</v>
      </c>
      <c r="M14" s="131">
        <f t="shared" si="5"/>
        <v>1</v>
      </c>
      <c r="N14" s="131">
        <f t="shared" si="4"/>
        <v>0.60416666666666663</v>
      </c>
      <c r="O14" s="131"/>
      <c r="P14" s="131"/>
    </row>
    <row r="15" spans="1:19" x14ac:dyDescent="0.25">
      <c r="A15" s="131" t="s">
        <v>259</v>
      </c>
      <c r="B15" s="131" t="str">
        <f t="shared" si="2"/>
        <v>4</v>
      </c>
      <c r="C15" s="131" t="str">
        <f>+MID(VLOOKUP(A15,'Ambiente de Control'!$B$21:$C$235,2,0),4,LEN(VLOOKUP(A15,'Ambiente de Control'!$B$21:$C$235,2,0))-4)</f>
        <v xml:space="preserve"> Evaluación de las actividades relacionadas con la permanencia del personal</v>
      </c>
      <c r="D15" s="131" t="s">
        <v>238</v>
      </c>
      <c r="E15" s="131" t="str">
        <f>+VLOOKUP(A15,'Ambiente de Control'!$B$21:$D$235,3,0)</f>
        <v>Dimension de Talento Humano
Politica Gestion Estrategica del Talento Humano
Dimension de Control Interno
Lineas de Defensa</v>
      </c>
      <c r="F15" s="131" t="str">
        <f>+VLOOKUP(A15,'Ambiente de Control'!$B$21:$K$235,10,0)</f>
        <v>Mantenimiento del control</v>
      </c>
      <c r="G15" s="131">
        <f>+VLOOKUP(A15,'Ambiente de Control'!$B$21:$O$235,13,0)</f>
        <v>60.789650000000002</v>
      </c>
      <c r="H15" s="133" t="e">
        <f t="shared" si="3"/>
        <v>#REF!</v>
      </c>
      <c r="I15" s="131" t="str">
        <f t="shared" si="0"/>
        <v>Cuando en el análisis de los requerimientos en los diferenes componentes del MECI se cuente con aspectos evaluados en nivel 1 (presente) y 1 (funcionando); 2 (presente) y 1 (funcionando).</v>
      </c>
      <c r="J15" s="131" t="s">
        <v>257</v>
      </c>
      <c r="K15" s="131">
        <f>+IF(ISBLANK(VLOOKUP(A15,'Ambiente de Control'!$B$24:$F$235,5,0)),"",VLOOKUP(A15,'Ambiente de Control'!$B$24:$F$235,5,0))</f>
        <v>3</v>
      </c>
      <c r="L15" s="131">
        <f>+IF(ISBLANK(VLOOKUP(A15,'Ambiente de Control'!$B$24:$K$235,9,0)),"",VLOOKUP(A15,'Ambiente de Control'!$B$24:$K$235,9,0))</f>
        <v>3</v>
      </c>
      <c r="M15" s="131">
        <f t="shared" si="5"/>
        <v>1</v>
      </c>
      <c r="N15" s="131">
        <f t="shared" si="4"/>
        <v>0.60416666666666663</v>
      </c>
      <c r="O15" s="131"/>
      <c r="P15" s="131"/>
    </row>
    <row r="16" spans="1:19" x14ac:dyDescent="0.25">
      <c r="A16" s="131" t="s">
        <v>260</v>
      </c>
      <c r="B16" s="131" t="str">
        <f t="shared" si="2"/>
        <v>4</v>
      </c>
      <c r="C16" s="131"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31" t="s">
        <v>238</v>
      </c>
      <c r="E16" s="131" t="str">
        <f>+VLOOKUP(A16,'Ambiente de Control'!$B$21:$D$235,3,0)</f>
        <v>Dimension de Talento Humano
Politica Gestion Estrategica del Talento Humano
Dimension de Control Interno
Lineas de Defensa</v>
      </c>
      <c r="F16" s="131" t="str">
        <f>+VLOOKUP(A16,'Ambiente de Control'!$B$21:$K$235,10,0)</f>
        <v>Deficiencia de control mayor (diseño y ejecución)</v>
      </c>
      <c r="G16" s="131">
        <f>+VLOOKUP(A16,'Ambiente de Control'!$B$21:$O$235,13,0)</f>
        <v>4.8896499999999996</v>
      </c>
      <c r="H16" s="133" t="e">
        <f t="shared" si="3"/>
        <v>#REF!</v>
      </c>
      <c r="I16" s="131" t="str">
        <f t="shared" si="0"/>
        <v>Cuando en el análisis de los requerimientos en los diferenes componentes del MECI se cuente con aspectos evaluados en nivel 2 (presente) y 2 (funcionando); 3 (presente) y 1 (funcionando); 3 (presente) y 2 (funcionando).</v>
      </c>
      <c r="J16" s="131" t="s">
        <v>257</v>
      </c>
      <c r="K16" s="131">
        <f>+IF(ISBLANK(VLOOKUP(A16,'Ambiente de Control'!$B$24:$F$235,5,0)),"",VLOOKUP(A16,'Ambiente de Control'!$B$24:$F$235,5,0))</f>
        <v>1</v>
      </c>
      <c r="L16" s="131">
        <f>+IF(ISBLANK(VLOOKUP(A16,'Ambiente de Control'!$B$24:$K$235,9,0)),"",VLOOKUP(A16,'Ambiente de Control'!$B$24:$K$235,9,0))</f>
        <v>1</v>
      </c>
      <c r="M16" s="131">
        <f t="shared" si="5"/>
        <v>0</v>
      </c>
      <c r="N16" s="131">
        <f t="shared" si="4"/>
        <v>0.60416666666666663</v>
      </c>
      <c r="O16" s="131"/>
      <c r="P16" s="131"/>
    </row>
    <row r="17" spans="1:16" x14ac:dyDescent="0.25">
      <c r="A17" s="131" t="s">
        <v>261</v>
      </c>
      <c r="B17" s="131" t="str">
        <f t="shared" si="2"/>
        <v>4</v>
      </c>
      <c r="C17" s="131" t="str">
        <f>+MID(VLOOKUP(A17,'Ambiente de Control'!$B$21:$C$235,2,0),4,LEN(VLOOKUP(A17,'Ambiente de Control'!$B$21:$C$235,2,0))-4)</f>
        <v xml:space="preserve"> Evaluación de las actividades relacionadas con el retiro del personal</v>
      </c>
      <c r="D17" s="131" t="s">
        <v>238</v>
      </c>
      <c r="E17" s="131" t="str">
        <f>+VLOOKUP(A17,'Ambiente de Control'!$B$21:$D$235,3,0)</f>
        <v>Dimension de Talento Humano
Politica Gestion Estrategica del Talento Humano
Dimension de Control Interno
Lineas de Defensa</v>
      </c>
      <c r="F17" s="131" t="str">
        <f>+VLOOKUP(A17,'Ambiente de Control'!$B$21:$K$235,10,0)</f>
        <v>Mantenimiento del control</v>
      </c>
      <c r="G17" s="131">
        <f>+VLOOKUP(A17,'Ambiente de Control'!$B$21:$O$235,13,0)</f>
        <v>60.989649999999997</v>
      </c>
      <c r="H17" s="133" t="e">
        <f t="shared" si="3"/>
        <v>#REF!</v>
      </c>
      <c r="I17" s="131" t="str">
        <f t="shared" si="0"/>
        <v>Cuando en el análisis de los requerimientos en los diferenes componentes del MECI se cuente con aspectos evaluados en nivel 1 (presente) y 1 (funcionando); 2 (presente) y 1 (funcionando).</v>
      </c>
      <c r="J17" s="131" t="s">
        <v>257</v>
      </c>
      <c r="K17" s="131">
        <f>+IF(ISBLANK(VLOOKUP(A17,'Ambiente de Control'!$B$24:$F$235,5,0)),"",VLOOKUP(A17,'Ambiente de Control'!$B$24:$F$235,5,0))</f>
        <v>3</v>
      </c>
      <c r="L17" s="131">
        <f>+IF(ISBLANK(VLOOKUP(A17,'Ambiente de Control'!$B$24:$K$235,9,0)),"",VLOOKUP(A17,'Ambiente de Control'!$B$24:$K$235,9,0))</f>
        <v>3</v>
      </c>
      <c r="M17" s="131">
        <f t="shared" si="5"/>
        <v>1</v>
      </c>
      <c r="N17" s="131">
        <f t="shared" si="4"/>
        <v>0.60416666666666663</v>
      </c>
      <c r="O17" s="131"/>
      <c r="P17" s="131"/>
    </row>
    <row r="18" spans="1:16" x14ac:dyDescent="0.25">
      <c r="A18" s="131" t="s">
        <v>262</v>
      </c>
      <c r="B18" s="131" t="str">
        <f t="shared" si="2"/>
        <v>4</v>
      </c>
      <c r="C18" s="131" t="str">
        <f>+MID(VLOOKUP(A18,'Ambiente de Control'!$B$21:$C$235,2,0),4,LEN(VLOOKUP(A18,'Ambiente de Control'!$B$21:$C$235,2,0))-4)</f>
        <v xml:space="preserve"> Evaluar el impacto del Plan Institucional de Capacitación - PI</v>
      </c>
      <c r="D18" s="131" t="s">
        <v>238</v>
      </c>
      <c r="E18" s="131" t="str">
        <f>+VLOOKUP(A18,'Ambiente de Control'!$B$21:$D$235,3,0)</f>
        <v>Dimension de Talento Humano
Politica Gestion Estrategica del Talento Humano
Dimension de Control Interno
Lineas de Defensa</v>
      </c>
      <c r="F18" s="131" t="str">
        <f>+VLOOKUP(A18,'Ambiente de Control'!$B$21:$K$235,10,0)</f>
        <v>Deficiencia de control (diseño o ejecución)</v>
      </c>
      <c r="G18" s="131">
        <f>+VLOOKUP(A18,'Ambiente de Control'!$B$21:$O$235,13,0)</f>
        <v>20.989652</v>
      </c>
      <c r="H18" s="133" t="e">
        <f t="shared" si="3"/>
        <v>#REF!</v>
      </c>
      <c r="I18" s="131" t="str">
        <f t="shared" si="0"/>
        <v>Cuando en el análisis de los requerimientos en los diferenes componentes del MECI se cuente con aspectos evaluados en nivel 2 (presente) y 3 (funcionando).</v>
      </c>
      <c r="J18" s="131" t="s">
        <v>257</v>
      </c>
      <c r="K18" s="131">
        <f>+IF(ISBLANK(VLOOKUP(A18,'Ambiente de Control'!$B$24:$F$235,5,0)),"",VLOOKUP(A18,'Ambiente de Control'!$B$24:$F$235,5,0))</f>
        <v>2</v>
      </c>
      <c r="L18" s="131">
        <f>+IF(ISBLANK(VLOOKUP(A18,'Ambiente de Control'!$B$24:$K$235,9,0)),"",VLOOKUP(A18,'Ambiente de Control'!$B$24:$K$235,9,0))</f>
        <v>2</v>
      </c>
      <c r="M18" s="131">
        <f t="shared" si="5"/>
        <v>0.5</v>
      </c>
      <c r="N18" s="131">
        <f t="shared" si="4"/>
        <v>0.60416666666666663</v>
      </c>
      <c r="O18" s="131"/>
      <c r="P18" s="131"/>
    </row>
    <row r="19" spans="1:16" x14ac:dyDescent="0.25">
      <c r="A19" s="131" t="s">
        <v>263</v>
      </c>
      <c r="B19" s="131" t="str">
        <f t="shared" si="2"/>
        <v>4</v>
      </c>
      <c r="C19" s="131" t="str">
        <f>+MID(VLOOKUP(A19,'Ambiente de Control'!$B$21:$C$235,2,0),4,LEN(VLOOKUP(A19,'Ambiente de Control'!$B$21:$C$235,2,0))-4)</f>
        <v xml:space="preserve"> Evaluación frente a los productos y servicios en los cuales participan los contratistas de apoyo</v>
      </c>
      <c r="D19" s="131" t="s">
        <v>238</v>
      </c>
      <c r="E19" s="131" t="str">
        <f>+VLOOKUP(A19,'Ambiente de Control'!$B$21:$D$235,3,0)</f>
        <v>Dimension de Talento Humano
Politica Gestion Estrategica del Talento Humano
Dimension de Control Interno
Lineas de Defensa</v>
      </c>
      <c r="F19" s="131" t="str">
        <f>+VLOOKUP(A19,'Ambiente de Control'!$B$21:$K$235,10,0)</f>
        <v>Deficiencia de control (diseño o ejecución)</v>
      </c>
      <c r="G19" s="131">
        <f>+VLOOKUP(A19,'Ambiente de Control'!$B$21:$O$235,13,0)</f>
        <v>21.896229999999999</v>
      </c>
      <c r="H19" s="133" t="e">
        <f t="shared" ref="H19" si="6">+_xlfn.RANK.EQ(G19,$G$2:$G$82,1)</f>
        <v>#REF!</v>
      </c>
      <c r="I19" s="131" t="str">
        <f t="shared" si="0"/>
        <v>Cuando en el análisis de los requerimientos en los diferenes componentes del MECI se cuente con aspectos evaluados en nivel 2 (presente) y 3 (funcionando).</v>
      </c>
      <c r="J19" s="131" t="s">
        <v>257</v>
      </c>
      <c r="K19" s="131">
        <f>+IF(ISBLANK(VLOOKUP(A19,'Ambiente de Control'!$B$24:$F$235,5,0)),"",VLOOKUP(A19,'Ambiente de Control'!$B$24:$F$235,5,0))</f>
        <v>2</v>
      </c>
      <c r="L19" s="131">
        <f>+IF(ISBLANK(VLOOKUP(A19,'Ambiente de Control'!$B$24:$K$235,9,0)),"",VLOOKUP(A19,'Ambiente de Control'!$B$24:$K$235,9,0))</f>
        <v>2</v>
      </c>
      <c r="M19" s="131">
        <f t="shared" si="5"/>
        <v>0.5</v>
      </c>
      <c r="N19" s="131">
        <f t="shared" ref="N19" si="7">+AVERAGEIF($D$2:$D$82,D19,$M$2:$M$82)</f>
        <v>0.60416666666666663</v>
      </c>
      <c r="O19" s="131"/>
      <c r="P19" s="131"/>
    </row>
    <row r="20" spans="1:16" x14ac:dyDescent="0.25">
      <c r="A20" s="131" t="s">
        <v>264</v>
      </c>
      <c r="B20" s="131" t="str">
        <f t="shared" si="2"/>
        <v>5</v>
      </c>
      <c r="C20" s="131"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31" t="s">
        <v>238</v>
      </c>
      <c r="E20" s="131" t="str">
        <f>+VLOOKUP(A20,'Ambiente de Control'!$B$21:$D$235,3,0)</f>
        <v>Dimension de Informaciòn y Comunicaciòn
Dimensiòn de Control Interno
Lineas de Defensa</v>
      </c>
      <c r="F20" s="131" t="str">
        <f>+VLOOKUP(A20,'Ambiente de Control'!$B$21:$K$235,10,0)</f>
        <v>Deficiencia de control (diseño o ejecución)</v>
      </c>
      <c r="G20" s="131">
        <f>+VLOOKUP(A20,'Ambiente de Control'!$B$21:$O$235,13,0)</f>
        <v>21.189599999999999</v>
      </c>
      <c r="H20" s="133" t="e">
        <f t="shared" si="3"/>
        <v>#REF!</v>
      </c>
      <c r="I20" s="131" t="str">
        <f t="shared" si="0"/>
        <v>Cuando en el análisis de los requerimientos en los diferenes componentes del MECI se cuente con aspectos evaluados en nivel 2 (presente) y 3 (funcionando).</v>
      </c>
      <c r="J20" s="131" t="s">
        <v>265</v>
      </c>
      <c r="K20" s="131">
        <f>+IF(ISBLANK(VLOOKUP(A20,'Ambiente de Control'!$B$24:$F$235,5,0)),"",VLOOKUP(A20,'Ambiente de Control'!$B$24:$F$235,5,0))</f>
        <v>2</v>
      </c>
      <c r="L20" s="131">
        <f>+IF(ISBLANK(VLOOKUP(A20,'Ambiente de Control'!$B$24:$K$235,9,0)),"",VLOOKUP(A20,'Ambiente de Control'!$B$24:$K$235,9,0))</f>
        <v>2</v>
      </c>
      <c r="M20" s="131">
        <f t="shared" si="5"/>
        <v>0.5</v>
      </c>
      <c r="N20" s="131">
        <f t="shared" si="4"/>
        <v>0.60416666666666663</v>
      </c>
      <c r="O20" s="131"/>
      <c r="P20" s="131"/>
    </row>
    <row r="21" spans="1:16" x14ac:dyDescent="0.25">
      <c r="A21" s="131" t="s">
        <v>266</v>
      </c>
      <c r="B21" s="131" t="str">
        <f t="shared" si="2"/>
        <v>5</v>
      </c>
      <c r="C21" s="131" t="str">
        <f>+MID(VLOOKUP(A21,'Ambiente de Control'!$B$21:$C$235,2,0),4,LEN(VLOOKUP(A21,'Ambiente de Control'!$B$21:$C$235,2,0))-4)</f>
        <v xml:space="preserve"> La Alta Dirección analiza la información asociada con la generación de reportes financieros</v>
      </c>
      <c r="D21" s="131" t="s">
        <v>238</v>
      </c>
      <c r="E21" s="131" t="str">
        <f>+VLOOKUP(A21,'Ambiente de Control'!$B$21:$D$235,3,0)</f>
        <v xml:space="preserve">
Dimensiòn de Control Interno
Linea de Estrategica</v>
      </c>
      <c r="F21" s="131" t="str">
        <f>+VLOOKUP(A21,'Ambiente de Control'!$B$21:$K$235,10,0)</f>
        <v>Mantenimiento del control</v>
      </c>
      <c r="G21" s="131">
        <f>+VLOOKUP(A21,'Ambiente de Control'!$B$21:$O$235,13,0)</f>
        <v>61.289650000000002</v>
      </c>
      <c r="H21" s="133" t="e">
        <f t="shared" si="3"/>
        <v>#REF!</v>
      </c>
      <c r="I21" s="131" t="str">
        <f t="shared" si="0"/>
        <v>Cuando en el análisis de los requerimientos en los diferenes componentes del MECI se cuente con aspectos evaluados en nivel 1 (presente) y 1 (funcionando); 2 (presente) y 1 (funcionando).</v>
      </c>
      <c r="J21" s="131" t="s">
        <v>265</v>
      </c>
      <c r="K21" s="131">
        <f>+IF(ISBLANK(VLOOKUP(A21,'Ambiente de Control'!$B$24:$F$235,5,0)),"",VLOOKUP(A21,'Ambiente de Control'!$B$24:$F$235,5,0))</f>
        <v>3</v>
      </c>
      <c r="L21" s="131">
        <f>+IF(ISBLANK(VLOOKUP(A21,'Ambiente de Control'!$B$24:$K$235,9,0)),"",VLOOKUP(A21,'Ambiente de Control'!$B$24:$K$235,9,0))</f>
        <v>3</v>
      </c>
      <c r="M21" s="131">
        <f t="shared" si="5"/>
        <v>1</v>
      </c>
      <c r="N21" s="131">
        <f t="shared" si="4"/>
        <v>0.60416666666666663</v>
      </c>
      <c r="O21" s="131"/>
      <c r="P21" s="131"/>
    </row>
    <row r="22" spans="1:16" x14ac:dyDescent="0.25">
      <c r="A22" s="131" t="s">
        <v>267</v>
      </c>
      <c r="B22" s="131" t="str">
        <f t="shared" si="2"/>
        <v>5</v>
      </c>
      <c r="C22" s="131"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31" t="s">
        <v>238</v>
      </c>
      <c r="E22" s="131" t="str">
        <f>+VLOOKUP(A22,'Ambiente de Control'!$B$21:$D$235,3,0)</f>
        <v>Dimensiòn de Control Interno
Lineas de Defensa</v>
      </c>
      <c r="F22" s="131" t="str">
        <f>+VLOOKUP(A22,'Ambiente de Control'!$B$21:$K$235,10,0)</f>
        <v>Mantenimiento del control</v>
      </c>
      <c r="G22" s="131">
        <f>+VLOOKUP(A22,'Ambiente de Control'!$B$21:$O$235,13,0)</f>
        <v>61.389629999999997</v>
      </c>
      <c r="H22" s="133" t="e">
        <f t="shared" si="3"/>
        <v>#REF!</v>
      </c>
      <c r="I22" s="131" t="str">
        <f t="shared" si="0"/>
        <v>Cuando en el análisis de los requerimientos en los diferenes componentes del MECI se cuente con aspectos evaluados en nivel 1 (presente) y 1 (funcionando); 2 (presente) y 1 (funcionando).</v>
      </c>
      <c r="J22" s="131" t="s">
        <v>265</v>
      </c>
      <c r="K22" s="131">
        <f>+IF(ISBLANK(VLOOKUP(A22,'Ambiente de Control'!$B$24:$F$235,5,0)),"",VLOOKUP(A22,'Ambiente de Control'!$B$24:$F$235,5,0))</f>
        <v>3</v>
      </c>
      <c r="L22" s="131">
        <f>+IF(ISBLANK(VLOOKUP(A22,'Ambiente de Control'!$B$24:$K$235,9,0)),"",VLOOKUP(A22,'Ambiente de Control'!$B$24:$K$235,9,0))</f>
        <v>3</v>
      </c>
      <c r="M22" s="131">
        <f t="shared" si="5"/>
        <v>1</v>
      </c>
      <c r="N22" s="131">
        <f t="shared" si="4"/>
        <v>0.60416666666666663</v>
      </c>
      <c r="O22" s="131"/>
      <c r="P22" s="131"/>
    </row>
    <row r="23" spans="1:16" x14ac:dyDescent="0.25">
      <c r="A23" s="131" t="s">
        <v>268</v>
      </c>
      <c r="B23" s="131" t="str">
        <f t="shared" si="2"/>
        <v>5</v>
      </c>
      <c r="C23" s="131"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31" t="s">
        <v>238</v>
      </c>
      <c r="E23" s="131" t="str">
        <f>+VLOOKUP(A23,'Ambiente de Control'!$B$21:$D$235,3,0)</f>
        <v>Dimension de Gestion con Valores para Resultado
Politica de Fortalecimiento Organizacional y Simplificaciòn de Procesos
Dimension Control Interno
Lineas de Defensa</v>
      </c>
      <c r="F23" s="131" t="str">
        <f>+VLOOKUP(A23,'Ambiente de Control'!$B$21:$K$235,10,0)</f>
        <v>Deficiencia de control mayor (diseño y ejecución)</v>
      </c>
      <c r="G23" s="131">
        <f>+VLOOKUP(A23,'Ambiente de Control'!$B$21:$O$235,13,0)</f>
        <v>5.48963</v>
      </c>
      <c r="H23" s="133" t="e">
        <f t="shared" si="3"/>
        <v>#REF!</v>
      </c>
      <c r="I23" s="131" t="str">
        <f t="shared" si="0"/>
        <v>Cuando en el análisis de los requerimientos en los diferenes componentes del MECI se cuente con aspectos evaluados en nivel 2 (presente) y 2 (funcionando); 3 (presente) y 1 (funcionando); 3 (presente) y 2 (funcionando).</v>
      </c>
      <c r="J23" s="131" t="s">
        <v>265</v>
      </c>
      <c r="K23" s="131">
        <f>+IF(ISBLANK(VLOOKUP(A23,'Ambiente de Control'!$B$24:$F$235,5,0)),"",VLOOKUP(A23,'Ambiente de Control'!$B$24:$F$235,5,0))</f>
        <v>1</v>
      </c>
      <c r="L23" s="131">
        <f>+IF(ISBLANK(VLOOKUP(A23,'Ambiente de Control'!$B$24:$K$235,9,0)),"",VLOOKUP(A23,'Ambiente de Control'!$B$24:$K$235,9,0))</f>
        <v>1</v>
      </c>
      <c r="M23" s="131">
        <f t="shared" si="5"/>
        <v>0</v>
      </c>
      <c r="N23" s="131">
        <f t="shared" si="4"/>
        <v>0.60416666666666663</v>
      </c>
      <c r="O23" s="131"/>
      <c r="P23" s="131"/>
    </row>
    <row r="24" spans="1:16" x14ac:dyDescent="0.25">
      <c r="A24" s="131" t="s">
        <v>269</v>
      </c>
      <c r="B24" s="131" t="str">
        <f t="shared" si="2"/>
        <v>5</v>
      </c>
      <c r="C24" s="131" t="str">
        <f>+MID(VLOOKUP(A24,'Ambiente de Control'!$B$21:$C$235,2,0),4,LEN(VLOOKUP(A24,'Ambiente de Control'!$B$21:$C$235,2,0))-4)</f>
        <v xml:space="preserve"> La entidad aprueba y hace seguimiento al Plan Anual de Auditoría presentado y ejecutado por parte de la Oficina de Control Interno</v>
      </c>
      <c r="D24" s="131" t="s">
        <v>238</v>
      </c>
      <c r="E24" s="131" t="str">
        <f>+VLOOKUP(A24,'Ambiente de Control'!$B$21:$D$235,3,0)</f>
        <v>Dimension Control Interno
Linea Estrategica</v>
      </c>
      <c r="F24" s="131" t="str">
        <f>+VLOOKUP(A24,'Ambiente de Control'!$B$21:$K$235,10,0)</f>
        <v>Deficiencia de control (diseño o ejecución)</v>
      </c>
      <c r="G24" s="131">
        <f>+VLOOKUP(A24,'Ambiente de Control'!$B$21:$O$235,13,0)</f>
        <v>21.589649999999999</v>
      </c>
      <c r="H24" s="133" t="e">
        <f t="shared" si="3"/>
        <v>#REF!</v>
      </c>
      <c r="I24" s="131" t="str">
        <f t="shared" si="0"/>
        <v>Cuando en el análisis de los requerimientos en los diferenes componentes del MECI se cuente con aspectos evaluados en nivel 2 (presente) y 3 (funcionando).</v>
      </c>
      <c r="J24" s="131" t="s">
        <v>265</v>
      </c>
      <c r="K24" s="131">
        <f>+IF(ISBLANK(VLOOKUP(A24,'Ambiente de Control'!$B$24:$F$235,5,0)),"",VLOOKUP(A24,'Ambiente de Control'!$B$24:$F$235,5,0))</f>
        <v>2</v>
      </c>
      <c r="L24" s="131">
        <f>+IF(ISBLANK(VLOOKUP(A24,'Ambiente de Control'!$B$24:$K$235,9,0)),"",VLOOKUP(A24,'Ambiente de Control'!$B$24:$K$235,9,0))</f>
        <v>2</v>
      </c>
      <c r="M24" s="131">
        <f t="shared" si="5"/>
        <v>0.5</v>
      </c>
      <c r="N24" s="131">
        <f t="shared" si="4"/>
        <v>0.60416666666666663</v>
      </c>
      <c r="O24" s="131"/>
      <c r="P24" s="131"/>
    </row>
    <row r="25" spans="1:16" x14ac:dyDescent="0.25">
      <c r="A25" s="131" t="s">
        <v>270</v>
      </c>
      <c r="B25" s="131" t="str">
        <f t="shared" si="2"/>
        <v>5</v>
      </c>
      <c r="C25" s="131" t="str">
        <f>+MID(VLOOKUP(A25,'Ambiente de Control'!$B$21:$C$235,2,0),4,LEN(VLOOKUP(A25,'Ambiente de Control'!$B$21:$C$235,2,0))-4)</f>
        <v xml:space="preserve"> La entidad analiza los informes presentados por la Oficina de Control Interno y evalúa su impacto en relación con la mejora institucional</v>
      </c>
      <c r="D25" s="131" t="s">
        <v>238</v>
      </c>
      <c r="E25" s="131" t="str">
        <f>+VLOOKUP(A25,'Ambiente de Control'!$B$21:$D$235,3,0)</f>
        <v>Dimension Control Interno
Linea Estrategica</v>
      </c>
      <c r="F25" s="131" t="str">
        <f>+VLOOKUP(A25,'Ambiente de Control'!$B$21:$K$235,10,0)</f>
        <v>Deficiencia de control (diseño o ejecución)</v>
      </c>
      <c r="G25" s="131">
        <f>+VLOOKUP(A25,'Ambiente de Control'!$B$21:$O$235,13,0)</f>
        <v>21.689653</v>
      </c>
      <c r="H25" s="133" t="e">
        <f t="shared" si="3"/>
        <v>#REF!</v>
      </c>
      <c r="I25" s="131" t="str">
        <f t="shared" si="0"/>
        <v>Cuando en el análisis de los requerimientos en los diferenes componentes del MECI se cuente con aspectos evaluados en nivel 2 (presente) y 3 (funcionando).</v>
      </c>
      <c r="J25" s="131" t="s">
        <v>265</v>
      </c>
      <c r="K25" s="131">
        <f>+IF(ISBLANK(VLOOKUP(A25,'Ambiente de Control'!$B$24:$F$235,5,0)),"",VLOOKUP(A25,'Ambiente de Control'!$B$24:$F$235,5,0))</f>
        <v>2</v>
      </c>
      <c r="L25" s="131">
        <f>+IF(ISBLANK(VLOOKUP(A25,'Ambiente de Control'!$B$24:$K$235,9,0)),"",VLOOKUP(A25,'Ambiente de Control'!$B$24:$K$235,9,0))</f>
        <v>2</v>
      </c>
      <c r="M25" s="131">
        <f t="shared" si="5"/>
        <v>0.5</v>
      </c>
      <c r="N25" s="131">
        <f t="shared" si="4"/>
        <v>0.60416666666666663</v>
      </c>
      <c r="O25" s="131"/>
      <c r="P25" s="131"/>
    </row>
    <row r="26" spans="1:16" x14ac:dyDescent="0.25">
      <c r="A26" s="131" t="s">
        <v>271</v>
      </c>
      <c r="B26" s="131" t="str">
        <f t="shared" si="2"/>
        <v>6</v>
      </c>
      <c r="C26" s="131"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31" t="s">
        <v>224</v>
      </c>
      <c r="E26" s="131" t="str">
        <f>+VLOOKUP(A26,'Evaluación de riesgos'!$B$13:$K$160,3,0)</f>
        <v>Dimension de Direccionamiento Estratetegico y Planeacion.
Politica de Planeacion Institucional</v>
      </c>
      <c r="F26" s="131" t="str">
        <f>+VLOOKUP(A26,'Evaluación de riesgos'!$B$13:$K$160,10,0)</f>
        <v>Mantenimiento del control</v>
      </c>
      <c r="G26" s="131">
        <f>+VLOOKUP(A26,'Evaluación de riesgos'!$B$13:$O$160,13,0)</f>
        <v>141.78960000000001</v>
      </c>
      <c r="H26" s="133" t="e">
        <f t="shared" si="3"/>
        <v>#REF!</v>
      </c>
      <c r="I26" s="131" t="str">
        <f t="shared" si="0"/>
        <v>Cuando en el análisis de los requerimientos en los diferenes componentes del MECI se cuente con aspectos evaluados en nivel 1 (presente) y 1 (funcionando); 2 (presente) y 1 (funcionando).</v>
      </c>
      <c r="J26" s="131" t="s">
        <v>272</v>
      </c>
      <c r="K26" s="131">
        <f>+IF(ISBLANK(VLOOKUP(A26,'Evaluación de riesgos'!$B$16:$F$160,5,0)),"",VLOOKUP(A26,'Evaluación de riesgos'!$B$16:$F$160,5,0))</f>
        <v>3</v>
      </c>
      <c r="L26" s="131">
        <f>+IF(ISBLANK(VLOOKUP(A26,'Evaluación de riesgos'!$B$16:$J$160,9,9)),"",VLOOKUP(A26,'Evaluación de riesgos'!$B$16:$J$160,9,9))</f>
        <v>3</v>
      </c>
      <c r="M26" s="131">
        <f t="shared" si="5"/>
        <v>1</v>
      </c>
      <c r="N26" s="131">
        <f t="shared" si="4"/>
        <v>0.4264705882352941</v>
      </c>
      <c r="O26" s="131"/>
      <c r="P26" s="131"/>
    </row>
    <row r="27" spans="1:16" x14ac:dyDescent="0.25">
      <c r="A27" s="131" t="s">
        <v>273</v>
      </c>
      <c r="B27" s="131" t="str">
        <f t="shared" si="2"/>
        <v>6</v>
      </c>
      <c r="C27" s="131"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31" t="s">
        <v>224</v>
      </c>
      <c r="E27" s="131" t="str">
        <f>+VLOOKUP(A27,'Evaluación de riesgos'!$B$13:$K$160,3,0)</f>
        <v>Dimension de Gestion con Valores para Resultado
Politica de Fortalecimiento Organizacional y Simplificaciòn de Procesos</v>
      </c>
      <c r="F27" s="131" t="str">
        <f>+VLOOKUP(A27,'Evaluación de riesgos'!$B$13:$K$160,10,0)</f>
        <v>Deficiencia de control (diseño o ejecución)</v>
      </c>
      <c r="G27" s="131">
        <f>+VLOOKUP(A27,'Evaluación de riesgos'!$B$13:$O$160,13,0)</f>
        <v>101.8896</v>
      </c>
      <c r="H27" s="133" t="e">
        <f t="shared" si="3"/>
        <v>#REF!</v>
      </c>
      <c r="I27" s="131" t="str">
        <f t="shared" si="0"/>
        <v>Cuando en el análisis de los requerimientos en los diferenes componentes del MECI se cuente con aspectos evaluados en nivel 2 (presente) y 3 (funcionando).</v>
      </c>
      <c r="J27" s="131" t="s">
        <v>272</v>
      </c>
      <c r="K27" s="131">
        <f>+IF(ISBLANK(VLOOKUP(A27,'Evaluación de riesgos'!$B$16:$F$160,5,0)),"",VLOOKUP(A27,'Evaluación de riesgos'!$B$16:$F$160,5,0))</f>
        <v>2</v>
      </c>
      <c r="L27" s="131">
        <f>+IF(ISBLANK(VLOOKUP(A27,'Evaluación de riesgos'!$B$16:$J$160,9,9)),"",VLOOKUP(A27,'Evaluación de riesgos'!$B$16:$J$160,9,9))</f>
        <v>2</v>
      </c>
      <c r="M27" s="131">
        <f t="shared" si="5"/>
        <v>0.5</v>
      </c>
      <c r="N27" s="131">
        <f t="shared" si="4"/>
        <v>0.4264705882352941</v>
      </c>
      <c r="O27" s="131"/>
      <c r="P27" s="131"/>
    </row>
    <row r="28" spans="1:16" x14ac:dyDescent="0.25">
      <c r="A28" s="131" t="s">
        <v>274</v>
      </c>
      <c r="B28" s="131" t="str">
        <f t="shared" si="2"/>
        <v>6</v>
      </c>
      <c r="C28" s="131"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31" t="s">
        <v>224</v>
      </c>
      <c r="E28" s="131" t="str">
        <f>+VLOOKUP(A28,'Evaluación de riesgos'!$B$13:$K$160,3,0)</f>
        <v>Dimension de Direccionamiento Estratetegico y Planeacion.
Politica de Planeacion Institucional
Dimension Control Interno
Linea Estrategica</v>
      </c>
      <c r="F28" s="131" t="str">
        <f>+VLOOKUP(A28,'Evaluación de riesgos'!$B$13:$K$160,10,0)</f>
        <v>Mantenimiento del control</v>
      </c>
      <c r="G28" s="131">
        <f>+VLOOKUP(A28,'Evaluación de riesgos'!$B$13:$O$160,13,0)</f>
        <v>141.97540000000001</v>
      </c>
      <c r="H28" s="133" t="e">
        <f t="shared" si="3"/>
        <v>#REF!</v>
      </c>
      <c r="I28" s="131" t="str">
        <f t="shared" si="0"/>
        <v>Cuando en el análisis de los requerimientos en los diferenes componentes del MECI se cuente con aspectos evaluados en nivel 1 (presente) y 1 (funcionando); 2 (presente) y 1 (funcionando).</v>
      </c>
      <c r="J28" s="131" t="s">
        <v>272</v>
      </c>
      <c r="K28" s="131">
        <f>+IF(ISBLANK(VLOOKUP(A28,'Evaluación de riesgos'!$B$16:$F$160,5,0)),"",VLOOKUP(A28,'Evaluación de riesgos'!$B$16:$F$160,5,0))</f>
        <v>3</v>
      </c>
      <c r="L28" s="131">
        <f>+IF(ISBLANK(VLOOKUP(A28,'Evaluación de riesgos'!$B$16:$J$160,9,9)),"",VLOOKUP(A28,'Evaluación de riesgos'!$B$16:$J$160,9,9))</f>
        <v>3</v>
      </c>
      <c r="M28" s="131">
        <f t="shared" si="5"/>
        <v>1</v>
      </c>
      <c r="N28" s="131">
        <f t="shared" si="4"/>
        <v>0.4264705882352941</v>
      </c>
      <c r="O28" s="131"/>
      <c r="P28" s="131"/>
    </row>
    <row r="29" spans="1:16" x14ac:dyDescent="0.25">
      <c r="A29" s="131" t="s">
        <v>275</v>
      </c>
      <c r="B29" s="131" t="str">
        <f t="shared" si="2"/>
        <v>7</v>
      </c>
      <c r="C29" s="131"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31" t="s">
        <v>224</v>
      </c>
      <c r="E29" s="131" t="str">
        <f>+VLOOKUP(A29,'Evaluación de riesgos'!$B$13:$K$160,3,0)</f>
        <v>Dimension de Direccionamiento Estratetegico y Planeacion.
Politica de Planeacion Institucional</v>
      </c>
      <c r="F29" s="131" t="str">
        <f>+VLOOKUP(A29,'Evaluación de riesgos'!$B$13:$K$160,10,0)</f>
        <v>Deficiencia de control (diseño o ejecución)</v>
      </c>
      <c r="G29" s="131">
        <f>+VLOOKUP(A29,'Evaluación de riesgos'!$B$13:$O$160,13,0)</f>
        <v>102.0896</v>
      </c>
      <c r="H29" s="133" t="e">
        <f t="shared" si="3"/>
        <v>#REF!</v>
      </c>
      <c r="I29" s="131" t="str">
        <f t="shared" si="0"/>
        <v>Cuando en el análisis de los requerimientos en los diferenes componentes del MECI se cuente con aspectos evaluados en nivel 2 (presente) y 3 (funcionando).</v>
      </c>
      <c r="J29" s="131" t="s">
        <v>276</v>
      </c>
      <c r="K29" s="131">
        <f>+IF(ISBLANK(VLOOKUP(A29,'Evaluación de riesgos'!$B$16:$F$160,5,0)),"",VLOOKUP(A29,'Evaluación de riesgos'!$B$16:$F$160,5,0))</f>
        <v>2</v>
      </c>
      <c r="L29" s="131">
        <f>+IF(ISBLANK(VLOOKUP(A29,'Evaluación de riesgos'!$B$16:$J$160,9,9)),"",VLOOKUP(A29,'Evaluación de riesgos'!$B$16:$J$160,9,9))</f>
        <v>2</v>
      </c>
      <c r="M29" s="131">
        <f t="shared" si="5"/>
        <v>0.5</v>
      </c>
      <c r="N29" s="131">
        <f t="shared" si="4"/>
        <v>0.4264705882352941</v>
      </c>
      <c r="O29" s="131"/>
      <c r="P29" s="131"/>
    </row>
    <row r="30" spans="1:16" x14ac:dyDescent="0.25">
      <c r="A30" s="131" t="s">
        <v>277</v>
      </c>
      <c r="B30" s="131" t="str">
        <f t="shared" si="2"/>
        <v>7</v>
      </c>
      <c r="C30" s="131" t="str">
        <f>+MID(VLOOKUP(A30,'Evaluación de riesgos'!$B$13:$C$160,2,0),4,LEN(VLOOKUP(A30,'Evaluación de riesgos'!$B$13:$C$160,2,0))-4)</f>
        <v xml:space="preserve"> La Oficina de Planeación, Gerencia de Riesgos (donde existan), como 2a línea de defensa, consolidan información clave frente a la gestión del riesgo</v>
      </c>
      <c r="D30" s="131" t="s">
        <v>224</v>
      </c>
      <c r="E30" s="131" t="str">
        <f>+VLOOKUP(A30,'Evaluación de riesgos'!$B$13:$K$160,3,0)</f>
        <v>Dimension Control Interno 
Lineas de Defensa</v>
      </c>
      <c r="F30" s="131" t="str">
        <f>+VLOOKUP(A30,'Evaluación de riesgos'!$B$13:$K$160,10,0)</f>
        <v>Deficiencia de control (diseño o ejecución)</v>
      </c>
      <c r="G30" s="131">
        <f>+VLOOKUP(A30,'Evaluación de riesgos'!$B$13:$O$160,13,0)</f>
        <v>102.1456</v>
      </c>
      <c r="H30" s="133" t="e">
        <f t="shared" si="3"/>
        <v>#REF!</v>
      </c>
      <c r="I30" s="131" t="str">
        <f t="shared" si="0"/>
        <v>Cuando en el análisis de los requerimientos en los diferenes componentes del MECI se cuente con aspectos evaluados en nivel 2 (presente) y 3 (funcionando).</v>
      </c>
      <c r="J30" s="131" t="s">
        <v>276</v>
      </c>
      <c r="K30" s="131">
        <f>+IF(ISBLANK(VLOOKUP(A30,'Evaluación de riesgos'!$B$16:$F$160,5,0)),"",VLOOKUP(A30,'Evaluación de riesgos'!$B$16:$F$160,5,0))</f>
        <v>2</v>
      </c>
      <c r="L30" s="131">
        <f>+IF(ISBLANK(VLOOKUP(A30,'Evaluación de riesgos'!$B$16:$J$160,9,9)),"",VLOOKUP(A30,'Evaluación de riesgos'!$B$16:$J$160,9,9))</f>
        <v>2</v>
      </c>
      <c r="M30" s="131">
        <f t="shared" si="5"/>
        <v>0.5</v>
      </c>
      <c r="N30" s="131">
        <f t="shared" si="4"/>
        <v>0.4264705882352941</v>
      </c>
      <c r="O30" s="131"/>
      <c r="P30" s="131"/>
    </row>
    <row r="31" spans="1:16" x14ac:dyDescent="0.25">
      <c r="A31" s="131" t="s">
        <v>278</v>
      </c>
      <c r="B31" s="131" t="str">
        <f t="shared" si="2"/>
        <v>7</v>
      </c>
      <c r="C31" s="131"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31" t="s">
        <v>224</v>
      </c>
      <c r="E31" s="131" t="str">
        <f>+VLOOKUP(A31,'Evaluación de riesgos'!$B$13:$K$160,3,0)</f>
        <v>Dimension Control Interno 
Lineas de Defensa</v>
      </c>
      <c r="F31" s="131" t="str">
        <f>+VLOOKUP(A31,'Evaluación de riesgos'!$B$13:$K$160,10,0)</f>
        <v>Deficiencia de control (diseño o ejecución)</v>
      </c>
      <c r="G31" s="131">
        <f>+VLOOKUP(A31,'Evaluación de riesgos'!$B$13:$O$160,13,0)</f>
        <v>102.23650000000001</v>
      </c>
      <c r="H31" s="133" t="e">
        <f t="shared" si="3"/>
        <v>#REF!</v>
      </c>
      <c r="I31" s="131" t="str">
        <f t="shared" si="0"/>
        <v>Cuando en el análisis de los requerimientos en los diferenes componentes del MECI se cuente con aspectos evaluados en nivel 2 (presente) y 3 (funcionando).</v>
      </c>
      <c r="J31" s="131" t="s">
        <v>276</v>
      </c>
      <c r="K31" s="131">
        <f>+IF(ISBLANK(VLOOKUP(A31,'Evaluación de riesgos'!$B$16:$F$160,5,0)),"",VLOOKUP(A31,'Evaluación de riesgos'!$B$16:$F$160,5,0))</f>
        <v>2</v>
      </c>
      <c r="L31" s="131">
        <f>+IF(ISBLANK(VLOOKUP(A31,'Evaluación de riesgos'!$B$16:$J$160,9,9)),"",VLOOKUP(A31,'Evaluación de riesgos'!$B$16:$J$160,9,9))</f>
        <v>2</v>
      </c>
      <c r="M31" s="131">
        <f t="shared" si="5"/>
        <v>0.5</v>
      </c>
      <c r="N31" s="131">
        <f t="shared" si="4"/>
        <v>0.4264705882352941</v>
      </c>
      <c r="O31" s="131"/>
      <c r="P31" s="131"/>
    </row>
    <row r="32" spans="1:16" x14ac:dyDescent="0.25">
      <c r="A32" s="131" t="s">
        <v>279</v>
      </c>
      <c r="B32" s="131" t="str">
        <f t="shared" si="2"/>
        <v>7</v>
      </c>
      <c r="C32" s="131"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31" t="s">
        <v>224</v>
      </c>
      <c r="E32" s="131" t="str">
        <f>+VLOOKUP(A32,'Evaluación de riesgos'!$B$13:$K$160,3,0)</f>
        <v>Dimension de Direccionamiento Estratetegico y Planeacion.
Politica de Planeacion Institucional
Dimension Control Interno 
Lineas de Defensa</v>
      </c>
      <c r="F32" s="131" t="str">
        <f>+VLOOKUP(A32,'Evaluación de riesgos'!$B$13:$K$160,10,0)</f>
        <v>Deficiencia de control mayor (diseño y ejecución)</v>
      </c>
      <c r="G32" s="131">
        <f>+VLOOKUP(A32,'Evaluación de riesgos'!$B$13:$O$160,13,0)</f>
        <v>82.389600000000002</v>
      </c>
      <c r="H32" s="133" t="e">
        <f t="shared" si="3"/>
        <v>#REF!</v>
      </c>
      <c r="I32" s="131" t="str">
        <f t="shared" si="0"/>
        <v>Cuando en el análisis de los requerimientos en los diferenes componentes del MECI se cuente con aspectos evaluados en nivel 2 (presente) y 2 (funcionando); 3 (presente) y 1 (funcionando); 3 (presente) y 2 (funcionando).</v>
      </c>
      <c r="J32" s="131" t="s">
        <v>276</v>
      </c>
      <c r="K32" s="131">
        <f>+IF(ISBLANK(VLOOKUP(A32,'Evaluación de riesgos'!$B$16:$F$160,5,0)),"",VLOOKUP(A32,'Evaluación de riesgos'!$B$16:$F$160,5,0))</f>
        <v>1</v>
      </c>
      <c r="L32" s="131">
        <f>+IF(ISBLANK(VLOOKUP(A32,'Evaluación de riesgos'!$B$16:$J$160,9,9)),"",VLOOKUP(A32,'Evaluación de riesgos'!$B$16:$J$160,9,9))</f>
        <v>1</v>
      </c>
      <c r="M32" s="131">
        <f t="shared" si="5"/>
        <v>0</v>
      </c>
      <c r="N32" s="131">
        <f t="shared" si="4"/>
        <v>0.4264705882352941</v>
      </c>
      <c r="O32" s="131"/>
      <c r="P32" s="131"/>
    </row>
    <row r="33" spans="1:16" x14ac:dyDescent="0.25">
      <c r="A33" s="131" t="s">
        <v>280</v>
      </c>
      <c r="B33" s="131" t="str">
        <f t="shared" si="2"/>
        <v>7</v>
      </c>
      <c r="C33" s="131" t="str">
        <f>+MID(VLOOKUP(A33,'Evaluación de riesgos'!$B$13:$C$160,2,0),4,LEN(VLOOKUP(A33,'Evaluación de riesgos'!$B$13:$C$160,2,0))-4)</f>
        <v xml:space="preserve"> Se llevan a cabo seguimientos a las acciones definidas para resolver materializaciones de riesgo detectadas</v>
      </c>
      <c r="D33" s="131" t="s">
        <v>224</v>
      </c>
      <c r="E33" s="131" t="str">
        <f>+VLOOKUP(A33,'Evaluación de riesgos'!$B$13:$K$160,3,0)</f>
        <v>Dimension de Evaluacion de Resultados 
Politica de Seguimiento y evaluacion al Desempeño Institucional.
Dimension Control Interno 
Lineas de Defensa</v>
      </c>
      <c r="F33" s="131" t="str">
        <f>+VLOOKUP(A33,'Evaluación de riesgos'!$B$13:$K$160,10,0)</f>
        <v>Deficiencia de control mayor (diseño y ejecución)</v>
      </c>
      <c r="G33" s="131">
        <f>+VLOOKUP(A33,'Evaluación de riesgos'!$B$13:$O$160,13,0)</f>
        <v>82.456299999999999</v>
      </c>
      <c r="H33" s="133" t="e">
        <f t="shared" si="3"/>
        <v>#REF!</v>
      </c>
      <c r="I33" s="131" t="str">
        <f t="shared" si="0"/>
        <v>Cuando en el análisis de los requerimientos en los diferenes componentes del MECI se cuente con aspectos evaluados en nivel 2 (presente) y 2 (funcionando); 3 (presente) y 1 (funcionando); 3 (presente) y 2 (funcionando).</v>
      </c>
      <c r="J33" s="131" t="s">
        <v>276</v>
      </c>
      <c r="K33" s="131">
        <f>+IF(ISBLANK(VLOOKUP(A33,'Evaluación de riesgos'!$B$16:$F$160,5,0)),"",VLOOKUP(A33,'Evaluación de riesgos'!$B$16:$F$160,5,0))</f>
        <v>1</v>
      </c>
      <c r="L33" s="131">
        <f>+IF(ISBLANK(VLOOKUP(A33,'Evaluación de riesgos'!$B$16:$J$160,9,9)),"",VLOOKUP(A33,'Evaluación de riesgos'!$B$16:$J$160,9,9))</f>
        <v>3</v>
      </c>
      <c r="M33" s="131">
        <f t="shared" si="5"/>
        <v>0.25</v>
      </c>
      <c r="N33" s="131">
        <f t="shared" si="4"/>
        <v>0.4264705882352941</v>
      </c>
      <c r="O33" s="131"/>
      <c r="P33" s="131"/>
    </row>
    <row r="34" spans="1:16" x14ac:dyDescent="0.25">
      <c r="A34" s="131" t="s">
        <v>281</v>
      </c>
      <c r="B34" s="131" t="str">
        <f t="shared" si="2"/>
        <v>8</v>
      </c>
      <c r="C34" s="131"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31" t="s">
        <v>224</v>
      </c>
      <c r="E34" s="131" t="str">
        <f>+VLOOKUP(A34,'Evaluación de riesgos'!$B$13:$K$160,3,0)</f>
        <v>Dimension de Direccionamiento Estratetegico y Planeacion.
Politica de Planeacion Institucional</v>
      </c>
      <c r="F34" s="131" t="str">
        <f>+VLOOKUP(A34,'Evaluación de riesgos'!$B$13:$K$160,10,0)</f>
        <v>Deficiencia de control (diseño o ejecución)</v>
      </c>
      <c r="G34" s="131">
        <f>+VLOOKUP(A34,'Evaluación de riesgos'!$B$13:$O$160,13,0)</f>
        <v>102.5458</v>
      </c>
      <c r="H34" s="133" t="e">
        <f t="shared" si="3"/>
        <v>#REF!</v>
      </c>
      <c r="I34" s="131" t="str">
        <f t="shared" ref="I34:I65" si="8">+IF(F34=$F$2,$P$4,IF(F34=$F$3,$P$2,$P$3))</f>
        <v>Cuando en el análisis de los requerimientos en los diferenes componentes del MECI se cuente con aspectos evaluados en nivel 2 (presente) y 3 (funcionando).</v>
      </c>
      <c r="J34" s="131" t="s">
        <v>282</v>
      </c>
      <c r="K34" s="131">
        <f>+IF(ISBLANK(VLOOKUP(A34,'Evaluación de riesgos'!$B$16:$F$160,5,0)),"",VLOOKUP(A34,'Evaluación de riesgos'!$B$16:$F$160,5,0))</f>
        <v>2</v>
      </c>
      <c r="L34" s="131">
        <f>+IF(ISBLANK(VLOOKUP(A34,'Evaluación de riesgos'!$B$16:$J$160,9,9)),"",VLOOKUP(A34,'Evaluación de riesgos'!$B$16:$J$160,9,9))</f>
        <v>2</v>
      </c>
      <c r="M34" s="131">
        <f t="shared" si="5"/>
        <v>0.5</v>
      </c>
      <c r="N34" s="131">
        <f t="shared" si="4"/>
        <v>0.4264705882352941</v>
      </c>
      <c r="O34" s="131"/>
      <c r="P34" s="131"/>
    </row>
    <row r="35" spans="1:16" x14ac:dyDescent="0.25">
      <c r="A35" s="131" t="s">
        <v>283</v>
      </c>
      <c r="B35" s="131" t="str">
        <f t="shared" si="2"/>
        <v>8</v>
      </c>
      <c r="C35" s="131" t="str">
        <f>+MID(VLOOKUP(A35,'Evaluación de riesgos'!$B$13:$C$160,2,0),4,LEN(VLOOKUP(A35,'Evaluación de riesgos'!$B$13:$C$160,2,0))-4)</f>
        <v xml:space="preserve"> La Alta Dirección monitorea los riesgos de corrupción con la periodicidad establecida en la Política de Administración del Riesgo</v>
      </c>
      <c r="D35" s="131" t="s">
        <v>224</v>
      </c>
      <c r="E35" s="131" t="str">
        <f>+VLOOKUP(A35,'Evaluación de riesgos'!$B$13:$K$160,3,0)</f>
        <v>Dimension de Control Interno
Linea Estrategica</v>
      </c>
      <c r="F35" s="131" t="str">
        <f>+VLOOKUP(A35,'Evaluación de riesgos'!$B$13:$K$160,10,0)</f>
        <v>Deficiencia de control (diseño o ejecución)</v>
      </c>
      <c r="G35" s="131">
        <f>+VLOOKUP(A35,'Evaluación de riesgos'!$B$13:$O$160,13,0)</f>
        <v>102.63209999999999</v>
      </c>
      <c r="H35" s="133" t="e">
        <f t="shared" si="3"/>
        <v>#REF!</v>
      </c>
      <c r="I35" s="131" t="str">
        <f t="shared" si="8"/>
        <v>Cuando en el análisis de los requerimientos en los diferenes componentes del MECI se cuente con aspectos evaluados en nivel 2 (presente) y 3 (funcionando).</v>
      </c>
      <c r="J35" s="131" t="s">
        <v>282</v>
      </c>
      <c r="K35" s="131">
        <f>+IF(ISBLANK(VLOOKUP(A35,'Evaluación de riesgos'!$B$16:$F$160,5,0)),"",VLOOKUP(A35,'Evaluación de riesgos'!$B$16:$F$160,5,0))</f>
        <v>2</v>
      </c>
      <c r="L35" s="131">
        <f>+IF(ISBLANK(VLOOKUP(A35,'Evaluación de riesgos'!$B$16:$J$160,9,9)),"",VLOOKUP(A35,'Evaluación de riesgos'!$B$16:$J$160,9,9))</f>
        <v>2</v>
      </c>
      <c r="M35" s="131">
        <f t="shared" si="5"/>
        <v>0.5</v>
      </c>
      <c r="N35" s="131">
        <f t="shared" si="4"/>
        <v>0.4264705882352941</v>
      </c>
      <c r="O35" s="131"/>
      <c r="P35" s="131"/>
    </row>
    <row r="36" spans="1:16" x14ac:dyDescent="0.25">
      <c r="A36" s="131" t="s">
        <v>284</v>
      </c>
      <c r="B36" s="131" t="str">
        <f t="shared" si="2"/>
        <v>8</v>
      </c>
      <c r="C36" s="131"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31" t="s">
        <v>224</v>
      </c>
      <c r="E36" s="131" t="str">
        <f>+VLOOKUP(A36,'Evaluación de riesgos'!$B$13:$K$160,3,0)</f>
        <v>Dimension de Contro Interno
Lineas de Defensa</v>
      </c>
      <c r="F36" s="131" t="str">
        <f>+VLOOKUP(A36,'Evaluación de riesgos'!$B$13:$K$160,10,0)</f>
        <v>Deficiencia de control (diseño o ejecución)</v>
      </c>
      <c r="G36" s="131">
        <f>+VLOOKUP(A36,'Evaluación de riesgos'!$B$13:$O$160,13,0)</f>
        <v>102.7456</v>
      </c>
      <c r="H36" s="133" t="e">
        <f t="shared" si="3"/>
        <v>#REF!</v>
      </c>
      <c r="I36" s="131" t="str">
        <f t="shared" si="8"/>
        <v>Cuando en el análisis de los requerimientos en los diferenes componentes del MECI se cuente con aspectos evaluados en nivel 2 (presente) y 3 (funcionando).</v>
      </c>
      <c r="J36" s="131" t="s">
        <v>282</v>
      </c>
      <c r="K36" s="131">
        <f>+IF(ISBLANK(VLOOKUP(A36,'Evaluación de riesgos'!$B$16:$F$160,5,0)),"",VLOOKUP(A36,'Evaluación de riesgos'!$B$16:$F$160,5,0))</f>
        <v>2</v>
      </c>
      <c r="L36" s="131">
        <f>+IF(ISBLANK(VLOOKUP(A36,'Evaluación de riesgos'!$B$16:$J$160,9,9)),"",VLOOKUP(A36,'Evaluación de riesgos'!$B$16:$J$160,9,9))</f>
        <v>2</v>
      </c>
      <c r="M36" s="131">
        <f t="shared" si="5"/>
        <v>0.5</v>
      </c>
      <c r="N36" s="131">
        <f t="shared" si="4"/>
        <v>0.4264705882352941</v>
      </c>
      <c r="O36" s="131"/>
      <c r="P36" s="131"/>
    </row>
    <row r="37" spans="1:16" x14ac:dyDescent="0.25">
      <c r="A37" s="131" t="s">
        <v>285</v>
      </c>
      <c r="B37" s="131" t="str">
        <f t="shared" si="2"/>
        <v>8</v>
      </c>
      <c r="C37" s="131" t="str">
        <f>+MID(VLOOKUP(A37,'Evaluación de riesgos'!$B$13:$C$160,2,0),4,LEN(VLOOKUP(A37,'Evaluación de riesgos'!$B$13:$C$160,2,0))-4)</f>
        <v xml:space="preserve"> La Alta Dirección evalúa fallas en los controles (diseño y ejecución) para definir cursos de acción apropiados para su mejora</v>
      </c>
      <c r="D37" s="131" t="s">
        <v>224</v>
      </c>
      <c r="E37" s="131" t="str">
        <f>+VLOOKUP(A37,'Evaluación de riesgos'!$B$13:$K$160,3,0)</f>
        <v>Dimension de Control Interno
Linea Estrategica</v>
      </c>
      <c r="F37" s="131" t="str">
        <f>+VLOOKUP(A37,'Evaluación de riesgos'!$B$13:$K$160,10,0)</f>
        <v>Deficiencia de control (diseño o ejecución)</v>
      </c>
      <c r="G37" s="131">
        <f>+VLOOKUP(A37,'Evaluación de riesgos'!$B$13:$O$160,13,0)</f>
        <v>102.8745</v>
      </c>
      <c r="H37" s="133" t="e">
        <f t="shared" si="3"/>
        <v>#REF!</v>
      </c>
      <c r="I37" s="131" t="str">
        <f t="shared" si="8"/>
        <v>Cuando en el análisis de los requerimientos en los diferenes componentes del MECI se cuente con aspectos evaluados en nivel 2 (presente) y 3 (funcionando).</v>
      </c>
      <c r="J37" s="131" t="s">
        <v>282</v>
      </c>
      <c r="K37" s="131">
        <f>+IF(ISBLANK(VLOOKUP(A37,'Evaluación de riesgos'!$B$16:$F$160,5,0)),"",VLOOKUP(A37,'Evaluación de riesgos'!$B$16:$F$160,5,0))</f>
        <v>2</v>
      </c>
      <c r="L37" s="131">
        <f>+IF(ISBLANK(VLOOKUP(A37,'Evaluación de riesgos'!$B$16:$J$160,9,9)),"",VLOOKUP(A37,'Evaluación de riesgos'!$B$16:$J$160,9,9))</f>
        <v>2</v>
      </c>
      <c r="M37" s="131">
        <f t="shared" si="5"/>
        <v>0.5</v>
      </c>
      <c r="N37" s="131">
        <f t="shared" si="4"/>
        <v>0.4264705882352941</v>
      </c>
      <c r="O37" s="131"/>
      <c r="P37" s="131"/>
    </row>
    <row r="38" spans="1:16" x14ac:dyDescent="0.25">
      <c r="A38" s="131" t="s">
        <v>286</v>
      </c>
      <c r="B38" s="131" t="str">
        <f t="shared" si="2"/>
        <v>9</v>
      </c>
      <c r="C38" s="131"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31" t="s">
        <v>224</v>
      </c>
      <c r="E38" s="131" t="str">
        <f>+VLOOKUP(A38,'Evaluación de riesgos'!$B$13:$K$160,3,0)</f>
        <v>Dimension de Direccionamiento Estrategico 
Politica de Planeacion Institucional</v>
      </c>
      <c r="F38" s="131" t="str">
        <f>+VLOOKUP(A38,'Evaluación de riesgos'!$B$13:$K$160,10,0)</f>
        <v>Deficiencia de control (diseño o ejecución)</v>
      </c>
      <c r="G38" s="131">
        <f>+VLOOKUP(A38,'Evaluación de riesgos'!$B$13:$O$160,13,0)</f>
        <v>102.9635</v>
      </c>
      <c r="H38" s="133" t="e">
        <f t="shared" si="3"/>
        <v>#REF!</v>
      </c>
      <c r="I38" s="131" t="str">
        <f t="shared" si="8"/>
        <v>Cuando en el análisis de los requerimientos en los diferenes componentes del MECI se cuente con aspectos evaluados en nivel 2 (presente) y 3 (funcionando).</v>
      </c>
      <c r="J38" s="131" t="s">
        <v>287</v>
      </c>
      <c r="K38" s="131">
        <f>+IF(ISBLANK(VLOOKUP(A38,'Evaluación de riesgos'!$B$16:$F$160,5,0)),"",VLOOKUP(A38,'Evaluación de riesgos'!$B$16:$F$160,5,0))</f>
        <v>2</v>
      </c>
      <c r="L38" s="131">
        <f>+IF(ISBLANK(VLOOKUP(A38,'Evaluación de riesgos'!$B$16:$J$160,9,9)),"",VLOOKUP(A38,'Evaluación de riesgos'!$B$16:$J$160,9,9))</f>
        <v>2</v>
      </c>
      <c r="M38" s="131">
        <f t="shared" si="5"/>
        <v>0.5</v>
      </c>
      <c r="N38" s="131">
        <f t="shared" si="4"/>
        <v>0.4264705882352941</v>
      </c>
      <c r="O38" s="131"/>
      <c r="P38" s="131"/>
    </row>
    <row r="39" spans="1:16" x14ac:dyDescent="0.25">
      <c r="A39" s="131" t="s">
        <v>288</v>
      </c>
      <c r="B39" s="131" t="str">
        <f t="shared" si="2"/>
        <v>9</v>
      </c>
      <c r="C39" s="131"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31" t="s">
        <v>224</v>
      </c>
      <c r="E39" s="131" t="str">
        <f>+VLOOKUP(A39,'Evaluación de riesgos'!$B$13:$K$160,3,0)</f>
        <v>Dimension de Control Interno
Lineas de Defensa</v>
      </c>
      <c r="F39" s="131" t="str">
        <f>+VLOOKUP(A39,'Evaluación de riesgos'!$B$13:$K$160,10,0)</f>
        <v>Deficiencia de control (diseño o ejecución)</v>
      </c>
      <c r="G39" s="131">
        <f>+VLOOKUP(A39,'Evaluación de riesgos'!$B$13:$O$160,13,0)</f>
        <v>103.0125</v>
      </c>
      <c r="H39" s="133" t="e">
        <f t="shared" si="3"/>
        <v>#REF!</v>
      </c>
      <c r="I39" s="131" t="str">
        <f t="shared" si="8"/>
        <v>Cuando en el análisis de los requerimientos en los diferenes componentes del MECI se cuente con aspectos evaluados en nivel 2 (presente) y 3 (funcionando).</v>
      </c>
      <c r="J39" s="131" t="s">
        <v>287</v>
      </c>
      <c r="K39" s="131">
        <f>+IF(ISBLANK(VLOOKUP(A39,'Evaluación de riesgos'!$B$16:$F$160,5,0)),"",VLOOKUP(A39,'Evaluación de riesgos'!$B$16:$F$160,5,0))</f>
        <v>2</v>
      </c>
      <c r="L39" s="131">
        <f>+IF(ISBLANK(VLOOKUP(A39,'Evaluación de riesgos'!$B$16:$J$160,9,9)),"",VLOOKUP(A39,'Evaluación de riesgos'!$B$16:$J$160,9,9))</f>
        <v>2</v>
      </c>
      <c r="M39" s="131">
        <f t="shared" si="5"/>
        <v>0.5</v>
      </c>
      <c r="N39" s="131">
        <f t="shared" si="4"/>
        <v>0.4264705882352941</v>
      </c>
      <c r="O39" s="131"/>
      <c r="P39" s="131"/>
    </row>
    <row r="40" spans="1:16" x14ac:dyDescent="0.25">
      <c r="A40" s="131" t="s">
        <v>289</v>
      </c>
      <c r="B40" s="131" t="str">
        <f t="shared" si="2"/>
        <v>9</v>
      </c>
      <c r="C40" s="131"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31" t="s">
        <v>224</v>
      </c>
      <c r="E40" s="131" t="str">
        <f>+VLOOKUP(A40,'Evaluación de riesgos'!$B$13:$K$160,3,0)</f>
        <v>Dimension de Control Interno
Linea Estrategica</v>
      </c>
      <c r="F40" s="131" t="str">
        <f>+VLOOKUP(A40,'Evaluación de riesgos'!$B$13:$K$160,10,0)</f>
        <v>Deficiencia de control mayor (diseño y ejecución)</v>
      </c>
      <c r="G40" s="131">
        <f>+VLOOKUP(A40,'Evaluación de riesgos'!$B$13:$O$160,13,0)</f>
        <v>83.123599999999996</v>
      </c>
      <c r="H40" s="133" t="e">
        <f t="shared" si="3"/>
        <v>#REF!</v>
      </c>
      <c r="I40" s="131" t="str">
        <f t="shared" si="8"/>
        <v>Cuando en el análisis de los requerimientos en los diferenes componentes del MECI se cuente con aspectos evaluados en nivel 2 (presente) y 2 (funcionando); 3 (presente) y 1 (funcionando); 3 (presente) y 2 (funcionando).</v>
      </c>
      <c r="J40" s="131" t="s">
        <v>287</v>
      </c>
      <c r="K40" s="131">
        <f>+IF(ISBLANK(VLOOKUP(A40,'Evaluación de riesgos'!$B$16:$F$160,5,0)),"",VLOOKUP(A40,'Evaluación de riesgos'!$B$16:$F$160,5,0))</f>
        <v>1</v>
      </c>
      <c r="L40" s="131">
        <f>+IF(ISBLANK(VLOOKUP(A40,'Evaluación de riesgos'!$B$16:$J$160,9,9)),"",VLOOKUP(A40,'Evaluación de riesgos'!$B$16:$J$160,9,9))</f>
        <v>1</v>
      </c>
      <c r="M40" s="131">
        <f t="shared" si="5"/>
        <v>0</v>
      </c>
      <c r="N40" s="131">
        <f t="shared" si="4"/>
        <v>0.4264705882352941</v>
      </c>
      <c r="O40" s="131"/>
      <c r="P40" s="131"/>
    </row>
    <row r="41" spans="1:16" x14ac:dyDescent="0.25">
      <c r="A41" s="131" t="s">
        <v>290</v>
      </c>
      <c r="B41" s="131" t="str">
        <f t="shared" si="2"/>
        <v>9</v>
      </c>
      <c r="C41" s="131"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31" t="s">
        <v>224</v>
      </c>
      <c r="E41" s="131" t="str">
        <f>+VLOOKUP(A41,'Evaluación de riesgos'!$B$13:$K$160,3,0)</f>
        <v>Dimension de Control Interno
Lineas de Defensa</v>
      </c>
      <c r="F41" s="131" t="str">
        <f>+VLOOKUP(A41,'Evaluación de riesgos'!$B$13:$K$160,10,0)</f>
        <v>Deficiencia de control mayor (diseño y ejecución)</v>
      </c>
      <c r="G41" s="131">
        <f>+VLOOKUP(A41,'Evaluación de riesgos'!$B$13:$O$160,13,0)</f>
        <v>83.245599999999996</v>
      </c>
      <c r="H41" s="133" t="e">
        <f t="shared" si="3"/>
        <v>#REF!</v>
      </c>
      <c r="I41" s="131" t="str">
        <f t="shared" si="8"/>
        <v>Cuando en el análisis de los requerimientos en los diferenes componentes del MECI se cuente con aspectos evaluados en nivel 2 (presente) y 2 (funcionando); 3 (presente) y 1 (funcionando); 3 (presente) y 2 (funcionando).</v>
      </c>
      <c r="J41" s="131" t="s">
        <v>287</v>
      </c>
      <c r="K41" s="131">
        <f>+IF(ISBLANK(VLOOKUP(A41,'Evaluación de riesgos'!$B$16:$F$160,5,0)),"",VLOOKUP(A41,'Evaluación de riesgos'!$B$16:$F$160,5,0))</f>
        <v>1</v>
      </c>
      <c r="L41" s="131">
        <f>+IF(ISBLANK(VLOOKUP(A41,'Evaluación de riesgos'!$B$16:$J$160,9,9)),"",VLOOKUP(A41,'Evaluación de riesgos'!$B$16:$J$160,9,9))</f>
        <v>1</v>
      </c>
      <c r="M41" s="131">
        <f t="shared" si="5"/>
        <v>0</v>
      </c>
      <c r="N41" s="131">
        <f t="shared" si="4"/>
        <v>0.4264705882352941</v>
      </c>
      <c r="O41" s="131"/>
      <c r="P41" s="131"/>
    </row>
    <row r="42" spans="1:16" x14ac:dyDescent="0.25">
      <c r="A42" s="131" t="s">
        <v>291</v>
      </c>
      <c r="B42" s="131" t="str">
        <f t="shared" si="2"/>
        <v>9</v>
      </c>
      <c r="C42" s="131" t="str">
        <f>+MID(VLOOKUP(A42,'Evaluación de riesgos'!$B$13:$C$160,2,0),4,LEN(VLOOKUP(A42,'Evaluación de riesgos'!$B$13:$C$160,2,0))-4)</f>
        <v xml:space="preserve"> La entidad analiza el impacto sobre el control interno por cambios en los diferentes niveles organizacionales</v>
      </c>
      <c r="D42" s="131" t="s">
        <v>224</v>
      </c>
      <c r="E42" s="131" t="str">
        <f>+VLOOKUP(A42,'Evaluación de riesgos'!$B$13:$K$160,3,0)</f>
        <v>Dimension de Direccionamiento Estrategico y Planeacion
Politica de Planeacion Institucional
Dimension de Control Interno
Linea Estrategica</v>
      </c>
      <c r="F42" s="131" t="str">
        <f>+VLOOKUP(A42,'Evaluación de riesgos'!$B$13:$K$160,10,0)</f>
        <v>Deficiencia de control mayor (diseño y ejecución)</v>
      </c>
      <c r="G42" s="131">
        <f>+VLOOKUP(A42,'Evaluación de riesgos'!$B$13:$O$160,13,0)</f>
        <v>83.365399999999994</v>
      </c>
      <c r="H42" s="133" t="e">
        <f t="shared" si="3"/>
        <v>#REF!</v>
      </c>
      <c r="I42" s="131" t="str">
        <f t="shared" si="8"/>
        <v>Cuando en el análisis de los requerimientos en los diferenes componentes del MECI se cuente con aspectos evaluados en nivel 2 (presente) y 2 (funcionando); 3 (presente) y 1 (funcionando); 3 (presente) y 2 (funcionando).</v>
      </c>
      <c r="J42" s="131" t="s">
        <v>287</v>
      </c>
      <c r="K42" s="131">
        <f>+IF(ISBLANK(VLOOKUP(A42,'Evaluación de riesgos'!$B$16:$F$160,5,0)),"",VLOOKUP(A42,'Evaluación de riesgos'!$B$16:$F$160,5,0))</f>
        <v>1</v>
      </c>
      <c r="L42" s="131">
        <f>+IF(ISBLANK(VLOOKUP(A42,'Evaluación de riesgos'!$B$16:$J$160,9,9)),"",VLOOKUP(A42,'Evaluación de riesgos'!$B$16:$J$160,9,9))</f>
        <v>1</v>
      </c>
      <c r="M42" s="131">
        <f t="shared" si="5"/>
        <v>0</v>
      </c>
      <c r="N42" s="131">
        <f t="shared" si="4"/>
        <v>0.4264705882352941</v>
      </c>
      <c r="O42" s="131"/>
      <c r="P42" s="131"/>
    </row>
    <row r="43" spans="1:16" x14ac:dyDescent="0.25">
      <c r="A43" s="131" t="s">
        <v>292</v>
      </c>
      <c r="B43" s="131" t="str">
        <f>+LEFT(A43,2)</f>
        <v>10</v>
      </c>
      <c r="C43" s="131" t="e">
        <f>+MID(VLOOKUP(A43,#REF!,2,0),5,LEN(VLOOKUP(A43,#REF!,2,0))-5)</f>
        <v>#REF!</v>
      </c>
      <c r="D43" s="131" t="s">
        <v>225</v>
      </c>
      <c r="E43" s="131" t="e">
        <f>+VLOOKUP(A43,#REF!,3,0)</f>
        <v>#REF!</v>
      </c>
      <c r="F43" s="131" t="e">
        <f>+VLOOKUP(A43,#REF!,10,0)</f>
        <v>#REF!</v>
      </c>
      <c r="G43" s="131" t="e">
        <f>+VLOOKUP(A43,#REF!,13,0)</f>
        <v>#REF!</v>
      </c>
      <c r="H43" s="133" t="e">
        <f t="shared" si="3"/>
        <v>#REF!</v>
      </c>
      <c r="I43" s="131" t="e">
        <f t="shared" si="8"/>
        <v>#REF!</v>
      </c>
      <c r="J43" s="131" t="s">
        <v>293</v>
      </c>
      <c r="K43" s="131" t="e">
        <f>+IF(ISBLANK(VLOOKUP(A43,#REF!,5,0)),"",VLOOKUP(A43,#REF!,5,0))</f>
        <v>#REF!</v>
      </c>
      <c r="L43" s="131" t="e">
        <f>+IF(ISBLANK(VLOOKUP(A43,#REF!,9,0)),"",VLOOKUP(A43,#REF!,9,0))</f>
        <v>#REF!</v>
      </c>
      <c r="M43" s="131" t="e">
        <f t="shared" si="5"/>
        <v>#REF!</v>
      </c>
      <c r="N43" s="131" t="e">
        <f t="shared" si="4"/>
        <v>#REF!</v>
      </c>
      <c r="O43" s="131"/>
      <c r="P43" s="131"/>
    </row>
    <row r="44" spans="1:16" x14ac:dyDescent="0.25">
      <c r="A44" s="131" t="s">
        <v>294</v>
      </c>
      <c r="B44" s="131" t="str">
        <f t="shared" ref="B44:B82" si="9">+LEFT(A44,2)</f>
        <v>10</v>
      </c>
      <c r="C44" s="131" t="e">
        <f>+MID(VLOOKUP(A44,#REF!,2,0),5,LEN(VLOOKUP(A44,#REF!,2,0))-5)</f>
        <v>#REF!</v>
      </c>
      <c r="D44" s="131" t="s">
        <v>225</v>
      </c>
      <c r="E44" s="131" t="e">
        <f>+VLOOKUP(A44,#REF!,3,0)</f>
        <v>#REF!</v>
      </c>
      <c r="F44" s="131" t="e">
        <f>+VLOOKUP(A44,#REF!,10,0)</f>
        <v>#REF!</v>
      </c>
      <c r="G44" s="131" t="e">
        <f>+VLOOKUP(A44,#REF!,13,0)</f>
        <v>#REF!</v>
      </c>
      <c r="H44" s="133" t="e">
        <f t="shared" si="3"/>
        <v>#REF!</v>
      </c>
      <c r="I44" s="131" t="e">
        <f t="shared" si="8"/>
        <v>#REF!</v>
      </c>
      <c r="J44" s="131" t="s">
        <v>293</v>
      </c>
      <c r="K44" s="131" t="e">
        <f>+IF(ISBLANK(VLOOKUP(A44,#REF!,5,0)),"",VLOOKUP(A44,#REF!,5,0))</f>
        <v>#REF!</v>
      </c>
      <c r="L44" s="131" t="e">
        <f>+IF(ISBLANK(VLOOKUP(A44,#REF!,9,0)),"",VLOOKUP(A44,#REF!,9,0))</f>
        <v>#REF!</v>
      </c>
      <c r="M44" s="131" t="e">
        <f t="shared" si="5"/>
        <v>#REF!</v>
      </c>
      <c r="N44" s="131" t="e">
        <f t="shared" si="4"/>
        <v>#REF!</v>
      </c>
      <c r="O44" s="131"/>
      <c r="P44" s="131"/>
    </row>
    <row r="45" spans="1:16" x14ac:dyDescent="0.25">
      <c r="A45" s="131" t="s">
        <v>295</v>
      </c>
      <c r="B45" s="131" t="str">
        <f t="shared" si="9"/>
        <v>10</v>
      </c>
      <c r="C45" s="131" t="e">
        <f>+MID(VLOOKUP(A45,#REF!,2,0),5,LEN(VLOOKUP(A45,#REF!,2,0))-5)</f>
        <v>#REF!</v>
      </c>
      <c r="D45" s="131" t="s">
        <v>225</v>
      </c>
      <c r="E45" s="131" t="e">
        <f>+VLOOKUP(A45,#REF!,3,0)</f>
        <v>#REF!</v>
      </c>
      <c r="F45" s="131" t="e">
        <f>+VLOOKUP(A45,#REF!,10,0)</f>
        <v>#REF!</v>
      </c>
      <c r="G45" s="131" t="e">
        <f>+VLOOKUP(A45,#REF!,13,0)</f>
        <v>#REF!</v>
      </c>
      <c r="H45" s="133" t="e">
        <f t="shared" si="3"/>
        <v>#REF!</v>
      </c>
      <c r="I45" s="131" t="e">
        <f t="shared" si="8"/>
        <v>#REF!</v>
      </c>
      <c r="J45" s="131" t="s">
        <v>293</v>
      </c>
      <c r="K45" s="131" t="e">
        <f>+IF(ISBLANK(VLOOKUP(A45,#REF!,5,0)),"",VLOOKUP(A45,#REF!,5,0))</f>
        <v>#REF!</v>
      </c>
      <c r="L45" s="131" t="e">
        <f>+IF(ISBLANK(VLOOKUP(A45,#REF!,9,0)),"",VLOOKUP(A45,#REF!,9,0))</f>
        <v>#REF!</v>
      </c>
      <c r="M45" s="131" t="e">
        <f t="shared" si="5"/>
        <v>#REF!</v>
      </c>
      <c r="N45" s="131" t="e">
        <f t="shared" si="4"/>
        <v>#REF!</v>
      </c>
      <c r="O45" s="131"/>
      <c r="P45" s="131"/>
    </row>
    <row r="46" spans="1:16" x14ac:dyDescent="0.25">
      <c r="A46" s="131" t="s">
        <v>296</v>
      </c>
      <c r="B46" s="131" t="str">
        <f t="shared" si="9"/>
        <v>11</v>
      </c>
      <c r="C46" s="131" t="e">
        <f>+MID(VLOOKUP(A46,#REF!,2,0),5,LEN(VLOOKUP(A46,#REF!,2,0))-5)</f>
        <v>#REF!</v>
      </c>
      <c r="D46" s="131" t="s">
        <v>225</v>
      </c>
      <c r="E46" s="131" t="e">
        <f>+VLOOKUP(A46,#REF!,3,0)</f>
        <v>#REF!</v>
      </c>
      <c r="F46" s="131" t="e">
        <f>+VLOOKUP(A46,#REF!,10,0)</f>
        <v>#REF!</v>
      </c>
      <c r="G46" s="131" t="e">
        <f>+VLOOKUP(A46,#REF!,13,0)</f>
        <v>#REF!</v>
      </c>
      <c r="H46" s="133" t="e">
        <f t="shared" si="3"/>
        <v>#REF!</v>
      </c>
      <c r="I46" s="131" t="e">
        <f t="shared" si="8"/>
        <v>#REF!</v>
      </c>
      <c r="J46" s="131" t="s">
        <v>297</v>
      </c>
      <c r="K46" s="131" t="e">
        <f>+IF(ISBLANK(VLOOKUP(A46,#REF!,5,0)),"",VLOOKUP(A46,#REF!,5,0))</f>
        <v>#REF!</v>
      </c>
      <c r="L46" s="131" t="e">
        <f>+IF(ISBLANK(VLOOKUP(A46,#REF!,9,0)),"",VLOOKUP(A46,#REF!,9,0))</f>
        <v>#REF!</v>
      </c>
      <c r="M46" s="131" t="e">
        <f t="shared" si="5"/>
        <v>#REF!</v>
      </c>
      <c r="N46" s="131" t="e">
        <f t="shared" si="4"/>
        <v>#REF!</v>
      </c>
      <c r="O46" s="131"/>
      <c r="P46" s="131"/>
    </row>
    <row r="47" spans="1:16" x14ac:dyDescent="0.25">
      <c r="A47" s="131" t="s">
        <v>298</v>
      </c>
      <c r="B47" s="131" t="str">
        <f t="shared" si="9"/>
        <v>11</v>
      </c>
      <c r="C47" s="131" t="e">
        <f>+MID(VLOOKUP(A47,#REF!,2,0),5,LEN(VLOOKUP(A47,#REF!,2,0))-5)</f>
        <v>#REF!</v>
      </c>
      <c r="D47" s="131" t="s">
        <v>225</v>
      </c>
      <c r="E47" s="131" t="e">
        <f>+VLOOKUP(A47,#REF!,3,0)</f>
        <v>#REF!</v>
      </c>
      <c r="F47" s="131" t="e">
        <f>+VLOOKUP(A47,#REF!,10,0)</f>
        <v>#REF!</v>
      </c>
      <c r="G47" s="131" t="e">
        <f>+VLOOKUP(A47,#REF!,13,0)</f>
        <v>#REF!</v>
      </c>
      <c r="H47" s="133" t="e">
        <f t="shared" si="3"/>
        <v>#REF!</v>
      </c>
      <c r="I47" s="131" t="e">
        <f t="shared" si="8"/>
        <v>#REF!</v>
      </c>
      <c r="J47" s="131" t="s">
        <v>297</v>
      </c>
      <c r="K47" s="131" t="e">
        <f>+IF(ISBLANK(VLOOKUP(A47,#REF!,5,0)),"",VLOOKUP(A47,#REF!,5,0))</f>
        <v>#REF!</v>
      </c>
      <c r="L47" s="131" t="e">
        <f>+IF(ISBLANK(VLOOKUP(A47,#REF!,9,0)),"",VLOOKUP(A47,#REF!,9,0))</f>
        <v>#REF!</v>
      </c>
      <c r="M47" s="131" t="e">
        <f t="shared" si="5"/>
        <v>#REF!</v>
      </c>
      <c r="N47" s="131" t="e">
        <f t="shared" si="4"/>
        <v>#REF!</v>
      </c>
      <c r="O47" s="131"/>
      <c r="P47" s="131"/>
    </row>
    <row r="48" spans="1:16" x14ac:dyDescent="0.25">
      <c r="A48" s="131" t="s">
        <v>299</v>
      </c>
      <c r="B48" s="131" t="str">
        <f t="shared" si="9"/>
        <v>11</v>
      </c>
      <c r="C48" s="131" t="e">
        <f>+MID(VLOOKUP(A48,#REF!,2,0),5,LEN(VLOOKUP(A48,#REF!,2,0))-5)</f>
        <v>#REF!</v>
      </c>
      <c r="D48" s="131" t="s">
        <v>225</v>
      </c>
      <c r="E48" s="131" t="e">
        <f>+VLOOKUP(A48,#REF!,3,0)</f>
        <v>#REF!</v>
      </c>
      <c r="F48" s="131" t="e">
        <f>+VLOOKUP(A48,#REF!,10,0)</f>
        <v>#REF!</v>
      </c>
      <c r="G48" s="131" t="e">
        <f>+VLOOKUP(A48,#REF!,13,0)</f>
        <v>#REF!</v>
      </c>
      <c r="H48" s="133" t="e">
        <f t="shared" si="3"/>
        <v>#REF!</v>
      </c>
      <c r="I48" s="131" t="e">
        <f t="shared" si="8"/>
        <v>#REF!</v>
      </c>
      <c r="J48" s="131" t="s">
        <v>297</v>
      </c>
      <c r="K48" s="131" t="e">
        <f>+IF(ISBLANK(VLOOKUP(A48,#REF!,5,0)),"",VLOOKUP(A48,#REF!,5,0))</f>
        <v>#REF!</v>
      </c>
      <c r="L48" s="131" t="e">
        <f>+IF(ISBLANK(VLOOKUP(A48,#REF!,9,0)),"",VLOOKUP(A48,#REF!,9,0))</f>
        <v>#REF!</v>
      </c>
      <c r="M48" s="131" t="e">
        <f t="shared" si="5"/>
        <v>#REF!</v>
      </c>
      <c r="N48" s="131" t="e">
        <f t="shared" si="4"/>
        <v>#REF!</v>
      </c>
      <c r="O48" s="131"/>
      <c r="P48" s="131"/>
    </row>
    <row r="49" spans="1:16" x14ac:dyDescent="0.25">
      <c r="A49" s="131" t="s">
        <v>300</v>
      </c>
      <c r="B49" s="131" t="str">
        <f t="shared" si="9"/>
        <v>11</v>
      </c>
      <c r="C49" s="131" t="e">
        <f>+MID(VLOOKUP(A49,#REF!,2,0),5,LEN(VLOOKUP(A49,#REF!,2,0))-5)</f>
        <v>#REF!</v>
      </c>
      <c r="D49" s="131" t="s">
        <v>225</v>
      </c>
      <c r="E49" s="131" t="e">
        <f>+VLOOKUP(A49,#REF!,3,0)</f>
        <v>#REF!</v>
      </c>
      <c r="F49" s="131" t="e">
        <f>+VLOOKUP(A49,#REF!,10,0)</f>
        <v>#REF!</v>
      </c>
      <c r="G49" s="131" t="e">
        <f>+VLOOKUP(A49,#REF!,13,0)</f>
        <v>#REF!</v>
      </c>
      <c r="H49" s="133" t="e">
        <f t="shared" si="3"/>
        <v>#REF!</v>
      </c>
      <c r="I49" s="131" t="e">
        <f t="shared" si="8"/>
        <v>#REF!</v>
      </c>
      <c r="J49" s="131" t="s">
        <v>297</v>
      </c>
      <c r="K49" s="131" t="e">
        <f>+IF(ISBLANK(VLOOKUP(A49,#REF!,5,0)),"",VLOOKUP(A49,#REF!,5,0))</f>
        <v>#REF!</v>
      </c>
      <c r="L49" s="131" t="e">
        <f>+IF(ISBLANK(VLOOKUP(A49,#REF!,9,0)),"",VLOOKUP(A49,#REF!,9,0))</f>
        <v>#REF!</v>
      </c>
      <c r="M49" s="131" t="e">
        <f t="shared" si="5"/>
        <v>#REF!</v>
      </c>
      <c r="N49" s="131" t="e">
        <f t="shared" si="4"/>
        <v>#REF!</v>
      </c>
      <c r="O49" s="131"/>
      <c r="P49" s="131"/>
    </row>
    <row r="50" spans="1:16" x14ac:dyDescent="0.25">
      <c r="A50" s="131" t="s">
        <v>301</v>
      </c>
      <c r="B50" s="131" t="str">
        <f t="shared" si="9"/>
        <v>12</v>
      </c>
      <c r="C50" s="131" t="e">
        <f>+MID(VLOOKUP(A50,#REF!,2,0),5,LEN(VLOOKUP(A50,#REF!,2,0))-5)</f>
        <v>#REF!</v>
      </c>
      <c r="D50" s="131" t="s">
        <v>225</v>
      </c>
      <c r="E50" s="131" t="e">
        <f>+VLOOKUP(A50,#REF!,3,0)</f>
        <v>#REF!</v>
      </c>
      <c r="F50" s="131" t="e">
        <f>+VLOOKUP(A50,#REF!,10,0)</f>
        <v>#REF!</v>
      </c>
      <c r="G50" s="131" t="e">
        <f>+VLOOKUP(A50,#REF!,13,0)</f>
        <v>#REF!</v>
      </c>
      <c r="H50" s="133" t="e">
        <f t="shared" si="3"/>
        <v>#REF!</v>
      </c>
      <c r="I50" s="131" t="e">
        <f t="shared" si="8"/>
        <v>#REF!</v>
      </c>
      <c r="J50" s="131" t="s">
        <v>302</v>
      </c>
      <c r="K50" s="131" t="e">
        <f>+IF(ISBLANK(VLOOKUP(A50,#REF!,5,0)),"",VLOOKUP(A50,#REF!,5,0))</f>
        <v>#REF!</v>
      </c>
      <c r="L50" s="131" t="e">
        <f>+IF(ISBLANK(VLOOKUP(A50,#REF!,9,0)),"",VLOOKUP(A50,#REF!,9,0))</f>
        <v>#REF!</v>
      </c>
      <c r="M50" s="131" t="e">
        <f t="shared" si="5"/>
        <v>#REF!</v>
      </c>
      <c r="N50" s="131" t="e">
        <f t="shared" si="4"/>
        <v>#REF!</v>
      </c>
      <c r="O50" s="131"/>
      <c r="P50" s="131"/>
    </row>
    <row r="51" spans="1:16" x14ac:dyDescent="0.25">
      <c r="A51" s="131" t="s">
        <v>303</v>
      </c>
      <c r="B51" s="131" t="str">
        <f t="shared" si="9"/>
        <v>12</v>
      </c>
      <c r="C51" s="131" t="e">
        <f>+MID(VLOOKUP(A51,#REF!,2,0),6,LEN(VLOOKUP(A51,#REF!,2,0))-6)</f>
        <v>#REF!</v>
      </c>
      <c r="D51" s="131" t="s">
        <v>225</v>
      </c>
      <c r="E51" s="131" t="e">
        <f>+VLOOKUP(A51,#REF!,3,0)</f>
        <v>#REF!</v>
      </c>
      <c r="F51" s="131" t="e">
        <f>+VLOOKUP(A51,#REF!,10,0)</f>
        <v>#REF!</v>
      </c>
      <c r="G51" s="131" t="e">
        <f>+VLOOKUP(A51,#REF!,13,0)</f>
        <v>#REF!</v>
      </c>
      <c r="H51" s="133" t="e">
        <f t="shared" si="3"/>
        <v>#REF!</v>
      </c>
      <c r="I51" s="131" t="e">
        <f t="shared" si="8"/>
        <v>#REF!</v>
      </c>
      <c r="J51" s="131" t="s">
        <v>302</v>
      </c>
      <c r="K51" s="131" t="e">
        <f>+IF(ISBLANK(VLOOKUP(A51,#REF!,5,0)),"",VLOOKUP(A51,#REF!,5,0))</f>
        <v>#REF!</v>
      </c>
      <c r="L51" s="131" t="e">
        <f>+IF(ISBLANK(VLOOKUP(A51,#REF!,9,0)),"",VLOOKUP(A51,#REF!,9,0))</f>
        <v>#REF!</v>
      </c>
      <c r="M51" s="131" t="e">
        <f t="shared" si="5"/>
        <v>#REF!</v>
      </c>
      <c r="N51" s="131" t="e">
        <f t="shared" si="4"/>
        <v>#REF!</v>
      </c>
      <c r="O51" s="131"/>
      <c r="P51" s="131"/>
    </row>
    <row r="52" spans="1:16" x14ac:dyDescent="0.25">
      <c r="A52" s="131" t="s">
        <v>304</v>
      </c>
      <c r="B52" s="131" t="str">
        <f t="shared" si="9"/>
        <v>12</v>
      </c>
      <c r="C52" s="131" t="e">
        <f>+MID(VLOOKUP(A52,#REF!,2,0),6,LEN(VLOOKUP(A52,#REF!,2,0))-6)</f>
        <v>#REF!</v>
      </c>
      <c r="D52" s="131" t="s">
        <v>225</v>
      </c>
      <c r="E52" s="131" t="e">
        <f>+VLOOKUP(A52,#REF!,3,0)</f>
        <v>#REF!</v>
      </c>
      <c r="F52" s="131" t="e">
        <f>+VLOOKUP(A52,#REF!,10,0)</f>
        <v>#REF!</v>
      </c>
      <c r="G52" s="131" t="e">
        <f>+VLOOKUP(A52,#REF!,13,0)</f>
        <v>#REF!</v>
      </c>
      <c r="H52" s="133" t="e">
        <f t="shared" si="3"/>
        <v>#REF!</v>
      </c>
      <c r="I52" s="131" t="e">
        <f t="shared" si="8"/>
        <v>#REF!</v>
      </c>
      <c r="J52" s="131" t="s">
        <v>302</v>
      </c>
      <c r="K52" s="131" t="e">
        <f>+IF(ISBLANK(VLOOKUP(A52,#REF!,5,0)),"",VLOOKUP(A52,#REF!,5,0))</f>
        <v>#REF!</v>
      </c>
      <c r="L52" s="131" t="e">
        <f>+IF(ISBLANK(VLOOKUP(A52,#REF!,9,0)),"",VLOOKUP(A52,#REF!,9,0))</f>
        <v>#REF!</v>
      </c>
      <c r="M52" s="131" t="e">
        <f t="shared" si="5"/>
        <v>#REF!</v>
      </c>
      <c r="N52" s="131" t="e">
        <f t="shared" si="4"/>
        <v>#REF!</v>
      </c>
      <c r="O52" s="131"/>
      <c r="P52" s="131"/>
    </row>
    <row r="53" spans="1:16" x14ac:dyDescent="0.25">
      <c r="A53" s="131" t="s">
        <v>305</v>
      </c>
      <c r="B53" s="131" t="str">
        <f t="shared" si="9"/>
        <v>12</v>
      </c>
      <c r="C53" s="131" t="e">
        <f>+MID(VLOOKUP(A53,#REF!,2,0),6,LEN(VLOOKUP(A53,#REF!,2,0))-6)</f>
        <v>#REF!</v>
      </c>
      <c r="D53" s="131" t="s">
        <v>225</v>
      </c>
      <c r="E53" s="131" t="e">
        <f>+VLOOKUP(A53,#REF!,3,0)</f>
        <v>#REF!</v>
      </c>
      <c r="F53" s="131" t="e">
        <f>+VLOOKUP(A53,#REF!,10,0)</f>
        <v>#REF!</v>
      </c>
      <c r="G53" s="131" t="e">
        <f>+VLOOKUP(A53,#REF!,13,0)</f>
        <v>#REF!</v>
      </c>
      <c r="H53" s="133" t="e">
        <f t="shared" ref="H53" si="10">+_xlfn.RANK.EQ(G53,$G$2:$G$82,1)</f>
        <v>#REF!</v>
      </c>
      <c r="I53" s="131" t="e">
        <f t="shared" si="8"/>
        <v>#REF!</v>
      </c>
      <c r="J53" s="131" t="s">
        <v>302</v>
      </c>
      <c r="K53" s="131" t="e">
        <f>+IF(ISBLANK(VLOOKUP(A53,#REF!,5,0)),"",VLOOKUP(A53,#REF!,5,0))</f>
        <v>#REF!</v>
      </c>
      <c r="L53" s="131" t="e">
        <f>+IF(ISBLANK(VLOOKUP(A53,#REF!,9,0)),"",VLOOKUP(A53,#REF!,9,0))</f>
        <v>#REF!</v>
      </c>
      <c r="M53" s="131" t="e">
        <f t="shared" si="5"/>
        <v>#REF!</v>
      </c>
      <c r="N53" s="131" t="e">
        <f t="shared" ref="N53" si="11">+AVERAGEIF($D$2:$D$82,D53,$M$2:$M$82)</f>
        <v>#REF!</v>
      </c>
      <c r="O53" s="131"/>
      <c r="P53" s="131"/>
    </row>
    <row r="54" spans="1:16" x14ac:dyDescent="0.25">
      <c r="A54" s="131" t="s">
        <v>306</v>
      </c>
      <c r="B54" s="131" t="str">
        <f t="shared" si="9"/>
        <v>12</v>
      </c>
      <c r="C54" s="131" t="e">
        <f>+MID(VLOOKUP(A54,#REF!,2,0),6,LEN(VLOOKUP(A54,#REF!,2,0))-6)</f>
        <v>#REF!</v>
      </c>
      <c r="D54" s="131" t="s">
        <v>225</v>
      </c>
      <c r="E54" s="131" t="e">
        <f>+VLOOKUP(A54,#REF!,3,0)</f>
        <v>#REF!</v>
      </c>
      <c r="F54" s="131" t="e">
        <f>+VLOOKUP(A54,#REF!,10,0)</f>
        <v>#REF!</v>
      </c>
      <c r="G54" s="131" t="e">
        <f>+VLOOKUP(A54,#REF!,13,0)</f>
        <v>#REF!</v>
      </c>
      <c r="H54" s="133" t="e">
        <f t="shared" ref="H54" si="12">+_xlfn.RANK.EQ(G54,$G$2:$G$82,1)</f>
        <v>#REF!</v>
      </c>
      <c r="I54" s="131" t="e">
        <f t="shared" si="8"/>
        <v>#REF!</v>
      </c>
      <c r="J54" s="131" t="s">
        <v>302</v>
      </c>
      <c r="K54" s="131" t="e">
        <f>+IF(ISBLANK(VLOOKUP(A54,#REF!,5,0)),"",VLOOKUP(A54,#REF!,5,0))</f>
        <v>#REF!</v>
      </c>
      <c r="L54" s="131" t="e">
        <f>+IF(ISBLANK(VLOOKUP(A54,#REF!,9,0)),"",VLOOKUP(A54,#REF!,9,0))</f>
        <v>#REF!</v>
      </c>
      <c r="M54" s="131" t="e">
        <f t="shared" si="5"/>
        <v>#REF!</v>
      </c>
      <c r="N54" s="131" t="e">
        <f t="shared" ref="N54" si="13">+AVERAGEIF($D$2:$D$82,D54,$M$2:$M$82)</f>
        <v>#REF!</v>
      </c>
      <c r="O54" s="131"/>
      <c r="P54" s="131"/>
    </row>
    <row r="55" spans="1:16" ht="12.85" customHeight="1" x14ac:dyDescent="0.25">
      <c r="A55" s="131" t="s">
        <v>307</v>
      </c>
      <c r="B55" s="131" t="str">
        <f t="shared" si="9"/>
        <v>13</v>
      </c>
      <c r="C55" s="131" t="e">
        <f>+MID(VLOOKUP(A55,#REF!,2,0),6,LEN(VLOOKUP(A55,#REF!,2,0))-6)</f>
        <v>#REF!</v>
      </c>
      <c r="D55" s="131" t="s">
        <v>308</v>
      </c>
      <c r="E55" s="131" t="e">
        <f>+VLOOKUP(A55,#REF!,3,0)</f>
        <v>#REF!</v>
      </c>
      <c r="F55" s="131" t="e">
        <f>+VLOOKUP(A55,#REF!,10,0)</f>
        <v>#REF!</v>
      </c>
      <c r="G55" s="131" t="e">
        <f>+VLOOKUP(A55,#REF!,13,0)</f>
        <v>#REF!</v>
      </c>
      <c r="H55" s="133" t="e">
        <f t="shared" si="3"/>
        <v>#REF!</v>
      </c>
      <c r="I55" s="131" t="e">
        <f t="shared" si="8"/>
        <v>#REF!</v>
      </c>
      <c r="J55" s="131" t="s">
        <v>309</v>
      </c>
      <c r="K55" s="131" t="e">
        <f>+IF(ISBLANK(VLOOKUP(A55,#REF!,5,0)),"",VLOOKUP(A55,#REF!,5,0))</f>
        <v>#REF!</v>
      </c>
      <c r="L55" s="131" t="e">
        <f>+IF(ISBLANK(VLOOKUP(A55,#REF!,9,0)),"",VLOOKUP(A55,#REF!,9,0))</f>
        <v>#REF!</v>
      </c>
      <c r="M55" s="131" t="e">
        <f t="shared" si="5"/>
        <v>#REF!</v>
      </c>
      <c r="N55" s="131" t="e">
        <f>+AVERAGEIF($D$2:$D$82,D55,$M$2:$M$82)</f>
        <v>#REF!</v>
      </c>
      <c r="O55" s="131"/>
      <c r="P55" s="131"/>
    </row>
    <row r="56" spans="1:16" ht="12.85" customHeight="1" x14ac:dyDescent="0.25">
      <c r="A56" s="131" t="s">
        <v>310</v>
      </c>
      <c r="B56" s="131" t="str">
        <f t="shared" si="9"/>
        <v>13</v>
      </c>
      <c r="C56" s="131" t="e">
        <f>+MID(VLOOKUP(A56,#REF!,2,0),6,LEN(VLOOKUP(A56,#REF!,2,0))-6)</f>
        <v>#REF!</v>
      </c>
      <c r="D56" s="131" t="s">
        <v>308</v>
      </c>
      <c r="E56" s="131" t="e">
        <f>+VLOOKUP(A56,#REF!,3,0)</f>
        <v>#REF!</v>
      </c>
      <c r="F56" s="131" t="e">
        <f>+VLOOKUP(A56,#REF!,10,0)</f>
        <v>#REF!</v>
      </c>
      <c r="G56" s="131" t="e">
        <f>+VLOOKUP(A56,#REF!,13,0)</f>
        <v>#REF!</v>
      </c>
      <c r="H56" s="133" t="e">
        <f t="shared" si="3"/>
        <v>#REF!</v>
      </c>
      <c r="I56" s="131" t="e">
        <f t="shared" si="8"/>
        <v>#REF!</v>
      </c>
      <c r="J56" s="131" t="s">
        <v>309</v>
      </c>
      <c r="K56" s="131" t="e">
        <f>+IF(ISBLANK(VLOOKUP(A56,#REF!,5,0)),"",VLOOKUP(A56,#REF!,5,0))</f>
        <v>#REF!</v>
      </c>
      <c r="L56" s="131" t="e">
        <f>+IF(ISBLANK(VLOOKUP(A56,#REF!,9,0)),"",VLOOKUP(A56,#REF!,9,0))</f>
        <v>#REF!</v>
      </c>
      <c r="M56" s="131" t="e">
        <f t="shared" si="5"/>
        <v>#REF!</v>
      </c>
      <c r="N56" s="131" t="e">
        <f t="shared" si="4"/>
        <v>#REF!</v>
      </c>
      <c r="O56" s="131"/>
      <c r="P56" s="131"/>
    </row>
    <row r="57" spans="1:16" ht="12.85" customHeight="1" x14ac:dyDescent="0.25">
      <c r="A57" s="131" t="s">
        <v>311</v>
      </c>
      <c r="B57" s="131" t="str">
        <f t="shared" si="9"/>
        <v>13</v>
      </c>
      <c r="C57" s="131" t="e">
        <f>+MID(VLOOKUP(A57,#REF!,2,0),6,LEN(VLOOKUP(A57,#REF!,2,0))-6)</f>
        <v>#REF!</v>
      </c>
      <c r="D57" s="131" t="s">
        <v>308</v>
      </c>
      <c r="E57" s="131" t="e">
        <f>+VLOOKUP(A57,#REF!,3,0)</f>
        <v>#REF!</v>
      </c>
      <c r="F57" s="131" t="e">
        <f>+VLOOKUP(A57,#REF!,10,0)</f>
        <v>#REF!</v>
      </c>
      <c r="G57" s="131" t="e">
        <f>+VLOOKUP(A57,#REF!,13,0)</f>
        <v>#REF!</v>
      </c>
      <c r="H57" s="133" t="e">
        <f t="shared" si="3"/>
        <v>#REF!</v>
      </c>
      <c r="I57" s="131" t="e">
        <f t="shared" si="8"/>
        <v>#REF!</v>
      </c>
      <c r="J57" s="131" t="s">
        <v>309</v>
      </c>
      <c r="K57" s="131" t="e">
        <f>+IF(ISBLANK(VLOOKUP(A57,#REF!,5,0)),"",VLOOKUP(A57,#REF!,5,0))</f>
        <v>#REF!</v>
      </c>
      <c r="L57" s="131" t="e">
        <f>+IF(ISBLANK(VLOOKUP(A57,#REF!,9,0)),"",VLOOKUP(A57,#REF!,9,0))</f>
        <v>#REF!</v>
      </c>
      <c r="M57" s="131" t="e">
        <f t="shared" si="5"/>
        <v>#REF!</v>
      </c>
      <c r="N57" s="131" t="e">
        <f t="shared" si="4"/>
        <v>#REF!</v>
      </c>
      <c r="O57" s="131"/>
      <c r="P57" s="131"/>
    </row>
    <row r="58" spans="1:16" ht="12.85" customHeight="1" x14ac:dyDescent="0.25">
      <c r="A58" s="131" t="s">
        <v>312</v>
      </c>
      <c r="B58" s="131" t="str">
        <f t="shared" si="9"/>
        <v>13</v>
      </c>
      <c r="C58" s="131" t="e">
        <f>+MID(VLOOKUP(A58,#REF!,2,0),6,LEN(VLOOKUP(A58,#REF!,2,0))-6)</f>
        <v>#REF!</v>
      </c>
      <c r="D58" s="131" t="s">
        <v>308</v>
      </c>
      <c r="E58" s="131" t="e">
        <f>+VLOOKUP(A58,#REF!,3,0)</f>
        <v>#REF!</v>
      </c>
      <c r="F58" s="131" t="e">
        <f>+VLOOKUP(A58,#REF!,10,0)</f>
        <v>#REF!</v>
      </c>
      <c r="G58" s="131" t="e">
        <f>+VLOOKUP(A58,#REF!,13,0)</f>
        <v>#REF!</v>
      </c>
      <c r="H58" s="133" t="e">
        <f t="shared" si="3"/>
        <v>#REF!</v>
      </c>
      <c r="I58" s="131" t="e">
        <f t="shared" si="8"/>
        <v>#REF!</v>
      </c>
      <c r="J58" s="131" t="s">
        <v>309</v>
      </c>
      <c r="K58" s="131" t="e">
        <f>+IF(ISBLANK(VLOOKUP(A58,#REF!,5,0)),"",VLOOKUP(A58,#REF!,5,0))</f>
        <v>#REF!</v>
      </c>
      <c r="L58" s="131" t="e">
        <f>+IF(ISBLANK(VLOOKUP(A58,#REF!,9,0)),"",VLOOKUP(A58,#REF!,9,0))</f>
        <v>#REF!</v>
      </c>
      <c r="M58" s="131" t="e">
        <f t="shared" si="5"/>
        <v>#REF!</v>
      </c>
      <c r="N58" s="131" t="e">
        <f t="shared" si="4"/>
        <v>#REF!</v>
      </c>
      <c r="O58" s="131"/>
      <c r="P58" s="131"/>
    </row>
    <row r="59" spans="1:16" ht="12.85" customHeight="1" x14ac:dyDescent="0.25">
      <c r="A59" s="131" t="s">
        <v>313</v>
      </c>
      <c r="B59" s="131" t="str">
        <f t="shared" si="9"/>
        <v>14</v>
      </c>
      <c r="C59" s="131" t="e">
        <f>+MID(VLOOKUP(A59,#REF!,2,0),6,LEN(VLOOKUP(A59,#REF!,2,0))-6)</f>
        <v>#REF!</v>
      </c>
      <c r="D59" s="131" t="s">
        <v>308</v>
      </c>
      <c r="E59" s="131" t="e">
        <f>+VLOOKUP(A59,#REF!,3,0)</f>
        <v>#REF!</v>
      </c>
      <c r="F59" s="131" t="e">
        <f>+VLOOKUP(A59,#REF!,10,0)</f>
        <v>#REF!</v>
      </c>
      <c r="G59" s="131" t="e">
        <f>+VLOOKUP(A59,#REF!,13,0)</f>
        <v>#REF!</v>
      </c>
      <c r="H59" s="133" t="e">
        <f t="shared" si="3"/>
        <v>#REF!</v>
      </c>
      <c r="I59" s="131" t="e">
        <f t="shared" si="8"/>
        <v>#REF!</v>
      </c>
      <c r="J59" s="131" t="s">
        <v>314</v>
      </c>
      <c r="K59" s="131" t="e">
        <f>+IF(ISBLANK(VLOOKUP(A59,#REF!,5,0)),"",VLOOKUP(A59,#REF!,5,0))</f>
        <v>#REF!</v>
      </c>
      <c r="L59" s="131" t="e">
        <f>+IF(ISBLANK(VLOOKUP(A59,#REF!,9,0)),"",VLOOKUP(A59,#REF!,9,0))</f>
        <v>#REF!</v>
      </c>
      <c r="M59" s="131" t="e">
        <f t="shared" si="5"/>
        <v>#REF!</v>
      </c>
      <c r="N59" s="131" t="e">
        <f t="shared" si="4"/>
        <v>#REF!</v>
      </c>
      <c r="O59" s="131"/>
      <c r="P59" s="131"/>
    </row>
    <row r="60" spans="1:16" ht="12.85" customHeight="1" x14ac:dyDescent="0.25">
      <c r="A60" s="131" t="s">
        <v>315</v>
      </c>
      <c r="B60" s="131" t="str">
        <f t="shared" si="9"/>
        <v>14</v>
      </c>
      <c r="C60" s="131" t="e">
        <f>+MID(VLOOKUP(A60,#REF!,2,0),6,LEN(VLOOKUP(A60,#REF!,2,0))-6)</f>
        <v>#REF!</v>
      </c>
      <c r="D60" s="131" t="s">
        <v>308</v>
      </c>
      <c r="E60" s="131" t="e">
        <f>+VLOOKUP(A60,#REF!,3,0)</f>
        <v>#REF!</v>
      </c>
      <c r="F60" s="131" t="e">
        <f>+VLOOKUP(A60,#REF!,10,0)</f>
        <v>#REF!</v>
      </c>
      <c r="G60" s="131" t="e">
        <f>+VLOOKUP(A60,#REF!,13,0)</f>
        <v>#REF!</v>
      </c>
      <c r="H60" s="133" t="e">
        <f t="shared" si="3"/>
        <v>#REF!</v>
      </c>
      <c r="I60" s="131" t="e">
        <f t="shared" si="8"/>
        <v>#REF!</v>
      </c>
      <c r="J60" s="131" t="s">
        <v>314</v>
      </c>
      <c r="K60" s="131" t="e">
        <f>+IF(ISBLANK(VLOOKUP(A60,#REF!,5,0)),"",VLOOKUP(A60,#REF!,5,0))</f>
        <v>#REF!</v>
      </c>
      <c r="L60" s="131" t="e">
        <f>+IF(ISBLANK(VLOOKUP(A60,#REF!,9,0)),"",VLOOKUP(A60,#REF!,9,0))</f>
        <v>#REF!</v>
      </c>
      <c r="M60" s="131" t="e">
        <f t="shared" si="5"/>
        <v>#REF!</v>
      </c>
      <c r="N60" s="131" t="e">
        <f t="shared" si="4"/>
        <v>#REF!</v>
      </c>
      <c r="O60" s="131"/>
      <c r="P60" s="131"/>
    </row>
    <row r="61" spans="1:16" ht="12.85" customHeight="1" x14ac:dyDescent="0.25">
      <c r="A61" s="131" t="s">
        <v>316</v>
      </c>
      <c r="B61" s="131" t="str">
        <f t="shared" si="9"/>
        <v>14</v>
      </c>
      <c r="C61" s="131" t="e">
        <f>+MID(VLOOKUP(A61,#REF!,2,0),6,LEN(VLOOKUP(A61,#REF!,2,0))-6)</f>
        <v>#REF!</v>
      </c>
      <c r="D61" s="131" t="s">
        <v>308</v>
      </c>
      <c r="E61" s="131" t="e">
        <f>+VLOOKUP(A61,#REF!,3,0)</f>
        <v>#REF!</v>
      </c>
      <c r="F61" s="131" t="e">
        <f>+VLOOKUP(A61,#REF!,10,0)</f>
        <v>#REF!</v>
      </c>
      <c r="G61" s="131" t="e">
        <f>+VLOOKUP(A61,#REF!,13,0)</f>
        <v>#REF!</v>
      </c>
      <c r="H61" s="133" t="e">
        <f t="shared" si="3"/>
        <v>#REF!</v>
      </c>
      <c r="I61" s="131" t="e">
        <f t="shared" si="8"/>
        <v>#REF!</v>
      </c>
      <c r="J61" s="131" t="s">
        <v>314</v>
      </c>
      <c r="K61" s="131" t="e">
        <f>+IF(ISBLANK(VLOOKUP(A61,#REF!,5,0)),"",VLOOKUP(A61,#REF!,5,0))</f>
        <v>#REF!</v>
      </c>
      <c r="L61" s="131" t="e">
        <f>+IF(ISBLANK(VLOOKUP(A61,#REF!,9,0)),"",VLOOKUP(A61,#REF!,9,0))</f>
        <v>#REF!</v>
      </c>
      <c r="M61" s="131" t="e">
        <f t="shared" si="5"/>
        <v>#REF!</v>
      </c>
      <c r="N61" s="131" t="e">
        <f t="shared" si="4"/>
        <v>#REF!</v>
      </c>
      <c r="O61" s="131"/>
      <c r="P61" s="131"/>
    </row>
    <row r="62" spans="1:16" ht="12.85" customHeight="1" x14ac:dyDescent="0.25">
      <c r="A62" s="131" t="s">
        <v>317</v>
      </c>
      <c r="B62" s="131" t="str">
        <f t="shared" si="9"/>
        <v>14</v>
      </c>
      <c r="C62" s="131" t="e">
        <f>+MID(VLOOKUP(A62,#REF!,2,0),6,LEN(VLOOKUP(A62,#REF!,2,0))-6)</f>
        <v>#REF!</v>
      </c>
      <c r="D62" s="131" t="s">
        <v>308</v>
      </c>
      <c r="E62" s="131" t="e">
        <f>+VLOOKUP(A62,#REF!,3,0)</f>
        <v>#REF!</v>
      </c>
      <c r="F62" s="131" t="e">
        <f>+VLOOKUP(A62,#REF!,10,0)</f>
        <v>#REF!</v>
      </c>
      <c r="G62" s="131" t="e">
        <f>+VLOOKUP(A62,#REF!,13,0)</f>
        <v>#REF!</v>
      </c>
      <c r="H62" s="133" t="e">
        <f t="shared" si="3"/>
        <v>#REF!</v>
      </c>
      <c r="I62" s="131" t="e">
        <f t="shared" si="8"/>
        <v>#REF!</v>
      </c>
      <c r="J62" s="131" t="s">
        <v>314</v>
      </c>
      <c r="K62" s="131" t="e">
        <f>+IF(ISBLANK(VLOOKUP(A62,#REF!,5,0)),"",VLOOKUP(A62,#REF!,5,0))</f>
        <v>#REF!</v>
      </c>
      <c r="L62" s="131" t="e">
        <f>+IF(ISBLANK(VLOOKUP(A62,#REF!,9,0)),"",VLOOKUP(A62,#REF!,9,0))</f>
        <v>#REF!</v>
      </c>
      <c r="M62" s="131" t="e">
        <f t="shared" si="5"/>
        <v>#REF!</v>
      </c>
      <c r="N62" s="131" t="e">
        <f t="shared" si="4"/>
        <v>#REF!</v>
      </c>
      <c r="O62" s="131"/>
      <c r="P62" s="131"/>
    </row>
    <row r="63" spans="1:16" ht="12.85" customHeight="1" x14ac:dyDescent="0.25">
      <c r="A63" s="131" t="s">
        <v>318</v>
      </c>
      <c r="B63" s="131" t="str">
        <f t="shared" si="9"/>
        <v>15</v>
      </c>
      <c r="C63" s="131" t="e">
        <f>+MID(VLOOKUP(A63,#REF!,2,0),6,LEN(VLOOKUP(A63,#REF!,2,0))-6)</f>
        <v>#REF!</v>
      </c>
      <c r="D63" s="131" t="s">
        <v>308</v>
      </c>
      <c r="E63" s="131" t="e">
        <f>+VLOOKUP(A63,#REF!,3,0)</f>
        <v>#REF!</v>
      </c>
      <c r="F63" s="131" t="e">
        <f>+VLOOKUP(A63,#REF!,10,0)</f>
        <v>#REF!</v>
      </c>
      <c r="G63" s="131" t="e">
        <f>+VLOOKUP(A63,#REF!,13,0)</f>
        <v>#REF!</v>
      </c>
      <c r="H63" s="133" t="e">
        <f t="shared" si="3"/>
        <v>#REF!</v>
      </c>
      <c r="I63" s="131" t="e">
        <f t="shared" si="8"/>
        <v>#REF!</v>
      </c>
      <c r="J63" s="131" t="s">
        <v>319</v>
      </c>
      <c r="K63" s="131" t="e">
        <f>+IF(ISBLANK(VLOOKUP(A63,#REF!,5,0)),"",VLOOKUP(A63,#REF!,5,0))</f>
        <v>#REF!</v>
      </c>
      <c r="L63" s="131" t="e">
        <f>+IF(ISBLANK(VLOOKUP(A63,#REF!,9,0)),"",VLOOKUP(A63,#REF!,9,0))</f>
        <v>#REF!</v>
      </c>
      <c r="M63" s="131" t="e">
        <f t="shared" si="5"/>
        <v>#REF!</v>
      </c>
      <c r="N63" s="131" t="e">
        <f t="shared" si="4"/>
        <v>#REF!</v>
      </c>
      <c r="O63" s="131"/>
      <c r="P63" s="131"/>
    </row>
    <row r="64" spans="1:16" x14ac:dyDescent="0.25">
      <c r="A64" s="131" t="s">
        <v>320</v>
      </c>
      <c r="B64" s="131" t="str">
        <f t="shared" si="9"/>
        <v>15</v>
      </c>
      <c r="C64" s="131" t="e">
        <f>+MID(VLOOKUP(A64,#REF!,2,0),6,LEN(VLOOKUP(A64,#REF!,2,0))-6)</f>
        <v>#REF!</v>
      </c>
      <c r="D64" s="131" t="s">
        <v>308</v>
      </c>
      <c r="E64" s="131" t="e">
        <f>+VLOOKUP(A64,#REF!,3,0)</f>
        <v>#REF!</v>
      </c>
      <c r="F64" s="131" t="e">
        <f>+VLOOKUP(A64,#REF!,10,0)</f>
        <v>#REF!</v>
      </c>
      <c r="G64" s="131" t="e">
        <f>+VLOOKUP(A64,#REF!,13,0)</f>
        <v>#REF!</v>
      </c>
      <c r="H64" s="133" t="e">
        <f t="shared" si="3"/>
        <v>#REF!</v>
      </c>
      <c r="I64" s="131" t="e">
        <f t="shared" si="8"/>
        <v>#REF!</v>
      </c>
      <c r="J64" s="131" t="s">
        <v>319</v>
      </c>
      <c r="K64" s="131" t="e">
        <f>+IF(ISBLANK(VLOOKUP(A64,#REF!,5,0)),"",VLOOKUP(A64,#REF!,5,0))</f>
        <v>#REF!</v>
      </c>
      <c r="L64" s="131" t="e">
        <f>+IF(ISBLANK(VLOOKUP(A64,#REF!,9,0)),"",VLOOKUP(A64,#REF!,9,0))</f>
        <v>#REF!</v>
      </c>
      <c r="M64" s="131" t="e">
        <f t="shared" si="5"/>
        <v>#REF!</v>
      </c>
      <c r="N64" s="131" t="e">
        <f t="shared" si="4"/>
        <v>#REF!</v>
      </c>
      <c r="O64" s="131"/>
      <c r="P64" s="131"/>
    </row>
    <row r="65" spans="1:16" x14ac:dyDescent="0.25">
      <c r="A65" s="131" t="s">
        <v>321</v>
      </c>
      <c r="B65" s="131" t="str">
        <f t="shared" si="9"/>
        <v>15</v>
      </c>
      <c r="C65" s="131" t="e">
        <f>+MID(VLOOKUP(A65,#REF!,2,0),6,LEN(VLOOKUP(A65,#REF!,2,0))-6)</f>
        <v>#REF!</v>
      </c>
      <c r="D65" s="131" t="s">
        <v>308</v>
      </c>
      <c r="E65" s="131" t="e">
        <f>+VLOOKUP(A65,#REF!,3,0)</f>
        <v>#REF!</v>
      </c>
      <c r="F65" s="131" t="e">
        <f>+VLOOKUP(A65,#REF!,10,0)</f>
        <v>#REF!</v>
      </c>
      <c r="G65" s="131" t="e">
        <f>+VLOOKUP(A65,#REF!,13,0)</f>
        <v>#REF!</v>
      </c>
      <c r="H65" s="133" t="e">
        <f t="shared" si="3"/>
        <v>#REF!</v>
      </c>
      <c r="I65" s="131" t="e">
        <f t="shared" si="8"/>
        <v>#REF!</v>
      </c>
      <c r="J65" s="131" t="s">
        <v>319</v>
      </c>
      <c r="K65" s="131" t="e">
        <f>+IF(ISBLANK(VLOOKUP(A65,#REF!,5,0)),"",VLOOKUP(A65,#REF!,5,0))</f>
        <v>#REF!</v>
      </c>
      <c r="L65" s="131" t="e">
        <f>+IF(ISBLANK(VLOOKUP(A65,#REF!,9,0)),"",VLOOKUP(A65,#REF!,9,0))</f>
        <v>#REF!</v>
      </c>
      <c r="M65" s="131" t="e">
        <f t="shared" si="5"/>
        <v>#REF!</v>
      </c>
      <c r="N65" s="131" t="e">
        <f t="shared" si="4"/>
        <v>#REF!</v>
      </c>
      <c r="O65" s="131"/>
      <c r="P65" s="131"/>
    </row>
    <row r="66" spans="1:16" x14ac:dyDescent="0.25">
      <c r="A66" s="131" t="s">
        <v>322</v>
      </c>
      <c r="B66" s="131" t="str">
        <f t="shared" si="9"/>
        <v>15</v>
      </c>
      <c r="C66" s="131" t="e">
        <f>+MID(VLOOKUP(A66,#REF!,2,0),6,LEN(VLOOKUP(A66,#REF!,2,0))-6)</f>
        <v>#REF!</v>
      </c>
      <c r="D66" s="131" t="s">
        <v>308</v>
      </c>
      <c r="E66" s="131" t="e">
        <f>+VLOOKUP(A66,#REF!,3,0)</f>
        <v>#REF!</v>
      </c>
      <c r="F66" s="131" t="e">
        <f>+VLOOKUP(A66,#REF!,10,0)</f>
        <v>#REF!</v>
      </c>
      <c r="G66" s="131" t="e">
        <f>+VLOOKUP(A66,#REF!,13,0)</f>
        <v>#REF!</v>
      </c>
      <c r="H66" s="133" t="e">
        <f t="shared" si="3"/>
        <v>#REF!</v>
      </c>
      <c r="I66" s="131" t="e">
        <f t="shared" ref="I66:I82" si="14">+IF(F66=$F$2,$P$4,IF(F66=$F$3,$P$2,$P$3))</f>
        <v>#REF!</v>
      </c>
      <c r="J66" s="131" t="s">
        <v>319</v>
      </c>
      <c r="K66" s="131" t="e">
        <f>+IF(ISBLANK(VLOOKUP(A66,#REF!,5,0)),"",VLOOKUP(A66,#REF!,5,0))</f>
        <v>#REF!</v>
      </c>
      <c r="L66" s="131" t="e">
        <f>+IF(ISBLANK(VLOOKUP(A66,#REF!,9,0)),"",VLOOKUP(A66,#REF!,9,0))</f>
        <v>#REF!</v>
      </c>
      <c r="M66" s="131" t="e">
        <f t="shared" si="5"/>
        <v>#REF!</v>
      </c>
      <c r="N66" s="131" t="e">
        <f t="shared" si="4"/>
        <v>#REF!</v>
      </c>
      <c r="O66" s="131"/>
      <c r="P66" s="131"/>
    </row>
    <row r="67" spans="1:16" x14ac:dyDescent="0.25">
      <c r="A67" s="131" t="s">
        <v>323</v>
      </c>
      <c r="B67" s="131" t="str">
        <f t="shared" si="9"/>
        <v>15</v>
      </c>
      <c r="C67" s="131" t="e">
        <f>+MID(VLOOKUP(A67,#REF!,2,0),6,LEN(VLOOKUP(A67,#REF!,2,0))-6)</f>
        <v>#REF!</v>
      </c>
      <c r="D67" s="131" t="s">
        <v>308</v>
      </c>
      <c r="E67" s="131" t="e">
        <f>+VLOOKUP(A67,#REF!,3,0)</f>
        <v>#REF!</v>
      </c>
      <c r="F67" s="131" t="e">
        <f>+VLOOKUP(A67,#REF!,10,0)</f>
        <v>#REF!</v>
      </c>
      <c r="G67" s="131" t="e">
        <f>+VLOOKUP(A67,#REF!,13,0)</f>
        <v>#REF!</v>
      </c>
      <c r="H67" s="133" t="e">
        <f t="shared" si="3"/>
        <v>#REF!</v>
      </c>
      <c r="I67" s="131" t="e">
        <f t="shared" si="14"/>
        <v>#REF!</v>
      </c>
      <c r="J67" s="131" t="s">
        <v>319</v>
      </c>
      <c r="K67" s="131" t="e">
        <f>+IF(ISBLANK(VLOOKUP(A67,#REF!,5,0)),"",VLOOKUP(A67,#REF!,5,0))</f>
        <v>#REF!</v>
      </c>
      <c r="L67" s="131" t="e">
        <f>+IF(ISBLANK(VLOOKUP(A67,#REF!,9,0)),"",VLOOKUP(A67,#REF!,9,0))</f>
        <v>#REF!</v>
      </c>
      <c r="M67" s="131" t="e">
        <f t="shared" si="5"/>
        <v>#REF!</v>
      </c>
      <c r="N67" s="131" t="e">
        <f t="shared" si="4"/>
        <v>#REF!</v>
      </c>
      <c r="O67" s="131"/>
      <c r="P67" s="131"/>
    </row>
    <row r="68" spans="1:16" x14ac:dyDescent="0.25">
      <c r="A68" s="131" t="s">
        <v>324</v>
      </c>
      <c r="B68" s="131" t="str">
        <f t="shared" si="9"/>
        <v>15</v>
      </c>
      <c r="C68" s="131" t="e">
        <f>+MID(VLOOKUP(A68,#REF!,2,0),6,LEN(VLOOKUP(A68,#REF!,2,0))-6)</f>
        <v>#REF!</v>
      </c>
      <c r="D68" s="131" t="s">
        <v>308</v>
      </c>
      <c r="E68" s="131" t="e">
        <f>+VLOOKUP(A68,#REF!,3,0)</f>
        <v>#REF!</v>
      </c>
      <c r="F68" s="131" t="e">
        <f>+VLOOKUP(A68,#REF!,10,0)</f>
        <v>#REF!</v>
      </c>
      <c r="G68" s="131" t="e">
        <f>+VLOOKUP(A68,#REF!,13,0)</f>
        <v>#REF!</v>
      </c>
      <c r="H68" s="133" t="e">
        <f t="shared" si="3"/>
        <v>#REF!</v>
      </c>
      <c r="I68" s="131" t="e">
        <f t="shared" si="14"/>
        <v>#REF!</v>
      </c>
      <c r="J68" s="131" t="s">
        <v>319</v>
      </c>
      <c r="K68" s="131" t="e">
        <f>+IF(ISBLANK(VLOOKUP(A68,#REF!,5,0)),"",VLOOKUP(A68,#REF!,5,0))</f>
        <v>#REF!</v>
      </c>
      <c r="L68" s="131" t="e">
        <f>+IF(ISBLANK(VLOOKUP(A68,#REF!,9,0)),"",VLOOKUP(A68,#REF!,9,0))</f>
        <v>#REF!</v>
      </c>
      <c r="M68" s="131" t="e">
        <f t="shared" ref="M68:M82" si="15">+IF(OR(AND(K68=1,L68=1),AND(ISBLANK(K68),ISBLANK(L68)),K68="",L68=""),0,IF(OR(AND(K68=1,L68=2),AND(K68=1,L68=3)),0.25,IF(OR(AND(K68=2,L68=2),AND(K68=3,L68=1),AND(K68=3,L68=2),AND(K68=2,L68=1)),0.5,IF(AND(K68=2,L68=3),0.75,1))))</f>
        <v>#REF!</v>
      </c>
      <c r="N68" s="131" t="e">
        <f t="shared" si="4"/>
        <v>#REF!</v>
      </c>
      <c r="O68" s="131"/>
      <c r="P68" s="131"/>
    </row>
    <row r="69" spans="1:16" x14ac:dyDescent="0.25">
      <c r="A69" s="131" t="s">
        <v>325</v>
      </c>
      <c r="B69" s="131" t="str">
        <f t="shared" si="9"/>
        <v>16</v>
      </c>
      <c r="C69" s="131" t="e">
        <f>+MID(VLOOKUP(A69,#REF!,2,0),6,LEN(VLOOKUP(A69,#REF!,2,0))-6)</f>
        <v>#REF!</v>
      </c>
      <c r="D69" s="131" t="s">
        <v>326</v>
      </c>
      <c r="E69" s="131" t="e">
        <f>+VLOOKUP(A69,#REF!,3,0)</f>
        <v>#REF!</v>
      </c>
      <c r="F69" s="131" t="e">
        <f>+VLOOKUP(A69,#REF!,10,0)</f>
        <v>#REF!</v>
      </c>
      <c r="G69" s="131" t="e">
        <f>+VLOOKUP(A69,#REF!,13,0)</f>
        <v>#REF!</v>
      </c>
      <c r="H69" s="133" t="e">
        <f t="shared" si="3"/>
        <v>#REF!</v>
      </c>
      <c r="I69" s="131" t="e">
        <f t="shared" si="14"/>
        <v>#REF!</v>
      </c>
      <c r="J69" s="131" t="s">
        <v>327</v>
      </c>
      <c r="K69" s="131" t="e">
        <f>+IF(ISBLANK(VLOOKUP(A69,#REF!,5,0)),"",VLOOKUP(A69,#REF!,5,0))</f>
        <v>#REF!</v>
      </c>
      <c r="L69" s="131" t="e">
        <f>+IF(ISBLANK(VLOOKUP(A69,#REF!,9,0)),"",VLOOKUP(A69,#REF!,9,0))</f>
        <v>#REF!</v>
      </c>
      <c r="M69" s="131" t="e">
        <f t="shared" si="15"/>
        <v>#REF!</v>
      </c>
      <c r="N69" s="131" t="e">
        <f t="shared" si="4"/>
        <v>#REF!</v>
      </c>
      <c r="O69" s="131"/>
      <c r="P69" s="131"/>
    </row>
    <row r="70" spans="1:16" x14ac:dyDescent="0.25">
      <c r="A70" s="131" t="s">
        <v>328</v>
      </c>
      <c r="B70" s="131" t="str">
        <f t="shared" si="9"/>
        <v>16</v>
      </c>
      <c r="C70" s="131" t="e">
        <f>+MID(VLOOKUP(A70,#REF!,2,0),6,LEN(VLOOKUP(A70,#REF!,2,0))-6)</f>
        <v>#REF!</v>
      </c>
      <c r="D70" s="131" t="s">
        <v>326</v>
      </c>
      <c r="E70" s="131" t="e">
        <f>+VLOOKUP(A70,#REF!,3,0)</f>
        <v>#REF!</v>
      </c>
      <c r="F70" s="131" t="e">
        <f>+VLOOKUP(A70,#REF!,10,0)</f>
        <v>#REF!</v>
      </c>
      <c r="G70" s="131" t="e">
        <f>+VLOOKUP(A70,#REF!,13,0)</f>
        <v>#REF!</v>
      </c>
      <c r="H70" s="133" t="e">
        <f t="shared" si="3"/>
        <v>#REF!</v>
      </c>
      <c r="I70" s="131" t="e">
        <f t="shared" si="14"/>
        <v>#REF!</v>
      </c>
      <c r="J70" s="131" t="s">
        <v>327</v>
      </c>
      <c r="K70" s="131" t="e">
        <f>+IF(ISBLANK(VLOOKUP(A70,#REF!,5,0)),"",VLOOKUP(A70,#REF!,5,0))</f>
        <v>#REF!</v>
      </c>
      <c r="L70" s="131" t="e">
        <f>+IF(ISBLANK(VLOOKUP(A70,#REF!,9,0)),"",VLOOKUP(A70,#REF!,9,0))</f>
        <v>#REF!</v>
      </c>
      <c r="M70" s="131" t="e">
        <f t="shared" si="15"/>
        <v>#REF!</v>
      </c>
      <c r="N70" s="131" t="e">
        <f t="shared" si="4"/>
        <v>#REF!</v>
      </c>
      <c r="O70" s="131"/>
      <c r="P70" s="131"/>
    </row>
    <row r="71" spans="1:16" x14ac:dyDescent="0.25">
      <c r="A71" s="131" t="s">
        <v>329</v>
      </c>
      <c r="B71" s="131" t="str">
        <f t="shared" si="9"/>
        <v>16</v>
      </c>
      <c r="C71" s="131" t="e">
        <f>+MID(VLOOKUP(A71,#REF!,2,0),6,LEN(VLOOKUP(A71,#REF!,2,0))-6)</f>
        <v>#REF!</v>
      </c>
      <c r="D71" s="131" t="s">
        <v>326</v>
      </c>
      <c r="E71" s="131" t="e">
        <f>+VLOOKUP(A71,#REF!,3,0)</f>
        <v>#REF!</v>
      </c>
      <c r="F71" s="131" t="e">
        <f>+VLOOKUP(A71,#REF!,10,0)</f>
        <v>#REF!</v>
      </c>
      <c r="G71" s="131" t="e">
        <f>+VLOOKUP(A71,#REF!,13,0)</f>
        <v>#REF!</v>
      </c>
      <c r="H71" s="133" t="e">
        <f t="shared" ref="H71:H82" si="16">+_xlfn.RANK.EQ(G71,$G$2:$G$82,1)</f>
        <v>#REF!</v>
      </c>
      <c r="I71" s="131" t="e">
        <f t="shared" si="14"/>
        <v>#REF!</v>
      </c>
      <c r="J71" s="131" t="s">
        <v>327</v>
      </c>
      <c r="K71" s="131" t="e">
        <f>+IF(ISBLANK(VLOOKUP(A71,#REF!,5,0)),"",VLOOKUP(A71,#REF!,5,0))</f>
        <v>#REF!</v>
      </c>
      <c r="L71" s="131" t="e">
        <f>+IF(ISBLANK(VLOOKUP(A71,#REF!,9,0)),"",VLOOKUP(A71,#REF!,9,0))</f>
        <v>#REF!</v>
      </c>
      <c r="M71" s="131" t="e">
        <f t="shared" si="15"/>
        <v>#REF!</v>
      </c>
      <c r="N71" s="131" t="e">
        <f t="shared" ref="N71:N82" si="17">+AVERAGEIF($D$2:$D$82,D71,$M$2:$M$82)</f>
        <v>#REF!</v>
      </c>
      <c r="O71" s="131"/>
      <c r="P71" s="131"/>
    </row>
    <row r="72" spans="1:16" x14ac:dyDescent="0.25">
      <c r="A72" s="131" t="s">
        <v>330</v>
      </c>
      <c r="B72" s="131" t="str">
        <f t="shared" si="9"/>
        <v>16</v>
      </c>
      <c r="C72" s="131" t="e">
        <f>+MID(VLOOKUP(A72,#REF!,2,0),6,LEN(VLOOKUP(A72,#REF!,2,0))-6)</f>
        <v>#REF!</v>
      </c>
      <c r="D72" s="131" t="s">
        <v>326</v>
      </c>
      <c r="E72" s="131" t="e">
        <f>+VLOOKUP(A72,#REF!,3,0)</f>
        <v>#REF!</v>
      </c>
      <c r="F72" s="131" t="e">
        <f>+VLOOKUP(A72,#REF!,10,0)</f>
        <v>#REF!</v>
      </c>
      <c r="G72" s="131" t="e">
        <f>+VLOOKUP(A72,#REF!,13,0)</f>
        <v>#REF!</v>
      </c>
      <c r="H72" s="133" t="e">
        <f t="shared" si="16"/>
        <v>#REF!</v>
      </c>
      <c r="I72" s="131" t="e">
        <f t="shared" si="14"/>
        <v>#REF!</v>
      </c>
      <c r="J72" s="131" t="s">
        <v>327</v>
      </c>
      <c r="K72" s="131" t="e">
        <f>+IF(ISBLANK(VLOOKUP(A72,#REF!,5,0)),"",VLOOKUP(A72,#REF!,5,0))</f>
        <v>#REF!</v>
      </c>
      <c r="L72" s="131" t="e">
        <f>+IF(ISBLANK(VLOOKUP(A72,#REF!,9,0)),"",VLOOKUP(A72,#REF!,9,0))</f>
        <v>#REF!</v>
      </c>
      <c r="M72" s="131" t="e">
        <f t="shared" si="15"/>
        <v>#REF!</v>
      </c>
      <c r="N72" s="131" t="e">
        <f t="shared" si="17"/>
        <v>#REF!</v>
      </c>
      <c r="O72" s="131"/>
      <c r="P72" s="131"/>
    </row>
    <row r="73" spans="1:16" x14ac:dyDescent="0.25">
      <c r="A73" s="131" t="s">
        <v>331</v>
      </c>
      <c r="B73" s="131" t="str">
        <f t="shared" si="9"/>
        <v>16</v>
      </c>
      <c r="C73" s="131" t="e">
        <f>+MID(VLOOKUP(A73,#REF!,2,0),6,LEN(VLOOKUP(A73,#REF!,2,0))-6)</f>
        <v>#REF!</v>
      </c>
      <c r="D73" s="131" t="s">
        <v>326</v>
      </c>
      <c r="E73" s="131" t="e">
        <f>+VLOOKUP(A73,#REF!,3,0)</f>
        <v>#REF!</v>
      </c>
      <c r="F73" s="131" t="e">
        <f>+VLOOKUP(A73,#REF!,10,0)</f>
        <v>#REF!</v>
      </c>
      <c r="G73" s="131" t="e">
        <f>+VLOOKUP(A73,#REF!,13,0)</f>
        <v>#REF!</v>
      </c>
      <c r="H73" s="133" t="e">
        <f t="shared" si="16"/>
        <v>#REF!</v>
      </c>
      <c r="I73" s="131" t="e">
        <f t="shared" si="14"/>
        <v>#REF!</v>
      </c>
      <c r="J73" s="131" t="s">
        <v>327</v>
      </c>
      <c r="K73" s="131" t="e">
        <f>+IF(ISBLANK(VLOOKUP(A73,#REF!,5,0)),"",VLOOKUP(A73,#REF!,5,0))</f>
        <v>#REF!</v>
      </c>
      <c r="L73" s="131" t="e">
        <f>+IF(ISBLANK(VLOOKUP(A73,#REF!,9,0)),"",VLOOKUP(A73,#REF!,9,0))</f>
        <v>#REF!</v>
      </c>
      <c r="M73" s="131" t="e">
        <f t="shared" si="15"/>
        <v>#REF!</v>
      </c>
      <c r="N73" s="131" t="e">
        <f t="shared" si="17"/>
        <v>#REF!</v>
      </c>
      <c r="O73" s="131"/>
      <c r="P73" s="131"/>
    </row>
    <row r="74" spans="1:16" x14ac:dyDescent="0.25">
      <c r="A74" s="131" t="s">
        <v>332</v>
      </c>
      <c r="B74" s="131" t="str">
        <f t="shared" si="9"/>
        <v>17</v>
      </c>
      <c r="C74" s="131" t="e">
        <f>+MID(VLOOKUP(A74,#REF!,2,0),6,LEN(VLOOKUP(A74,#REF!,2,0))-6)</f>
        <v>#REF!</v>
      </c>
      <c r="D74" s="131" t="s">
        <v>326</v>
      </c>
      <c r="E74" s="131" t="e">
        <f>+VLOOKUP(A74,#REF!,3,0)</f>
        <v>#REF!</v>
      </c>
      <c r="F74" s="131" t="e">
        <f>+VLOOKUP(A74,#REF!,10,0)</f>
        <v>#REF!</v>
      </c>
      <c r="G74" s="131" t="e">
        <f>+VLOOKUP(A74,#REF!,13,0)</f>
        <v>#REF!</v>
      </c>
      <c r="H74" s="133" t="e">
        <f t="shared" si="16"/>
        <v>#REF!</v>
      </c>
      <c r="I74" s="131" t="e">
        <f t="shared" si="14"/>
        <v>#REF!</v>
      </c>
      <c r="J74" s="131" t="s">
        <v>333</v>
      </c>
      <c r="K74" s="131" t="e">
        <f>+IF(ISBLANK(VLOOKUP(A74,#REF!,5,0)),"",VLOOKUP(A74,#REF!,5,0))</f>
        <v>#REF!</v>
      </c>
      <c r="L74" s="131" t="e">
        <f>+IF(ISBLANK(VLOOKUP(A74,#REF!,9,0)),"",VLOOKUP(A74,#REF!,9,0))</f>
        <v>#REF!</v>
      </c>
      <c r="M74" s="131" t="e">
        <f t="shared" si="15"/>
        <v>#REF!</v>
      </c>
      <c r="N74" s="131" t="e">
        <f t="shared" si="17"/>
        <v>#REF!</v>
      </c>
      <c r="O74" s="131"/>
      <c r="P74" s="131"/>
    </row>
    <row r="75" spans="1:16" x14ac:dyDescent="0.25">
      <c r="A75" s="131" t="s">
        <v>334</v>
      </c>
      <c r="B75" s="131" t="str">
        <f t="shared" si="9"/>
        <v>17</v>
      </c>
      <c r="C75" s="131" t="e">
        <f>+MID(VLOOKUP(A75,#REF!,2,0),6,LEN(VLOOKUP(A75,#REF!,2,0))-6)</f>
        <v>#REF!</v>
      </c>
      <c r="D75" s="131" t="s">
        <v>326</v>
      </c>
      <c r="E75" s="131" t="e">
        <f>+VLOOKUP(A75,#REF!,3,0)</f>
        <v>#REF!</v>
      </c>
      <c r="F75" s="131" t="e">
        <f>+VLOOKUP(A75,#REF!,10,0)</f>
        <v>#REF!</v>
      </c>
      <c r="G75" s="131" t="e">
        <f>+VLOOKUP(A75,#REF!,13,0)</f>
        <v>#REF!</v>
      </c>
      <c r="H75" s="133" t="e">
        <f t="shared" si="16"/>
        <v>#REF!</v>
      </c>
      <c r="I75" s="131" t="e">
        <f t="shared" si="14"/>
        <v>#REF!</v>
      </c>
      <c r="J75" s="131" t="s">
        <v>333</v>
      </c>
      <c r="K75" s="131" t="e">
        <f>+IF(ISBLANK(VLOOKUP(A75,#REF!,5,0)),"",VLOOKUP(A75,#REF!,5,0))</f>
        <v>#REF!</v>
      </c>
      <c r="L75" s="131" t="e">
        <f>+IF(ISBLANK(VLOOKUP(A75,#REF!,9,0)),"",VLOOKUP(A75,#REF!,9,0))</f>
        <v>#REF!</v>
      </c>
      <c r="M75" s="131" t="e">
        <f t="shared" si="15"/>
        <v>#REF!</v>
      </c>
      <c r="N75" s="131" t="e">
        <f t="shared" si="17"/>
        <v>#REF!</v>
      </c>
      <c r="O75" s="131"/>
      <c r="P75" s="131"/>
    </row>
    <row r="76" spans="1:16" x14ac:dyDescent="0.25">
      <c r="A76" s="131" t="s">
        <v>335</v>
      </c>
      <c r="B76" s="131" t="str">
        <f t="shared" si="9"/>
        <v>17</v>
      </c>
      <c r="C76" s="131" t="e">
        <f>+MID(VLOOKUP(A76,#REF!,2,0),6,LEN(VLOOKUP(A76,#REF!,2,0))-6)</f>
        <v>#REF!</v>
      </c>
      <c r="D76" s="131" t="s">
        <v>326</v>
      </c>
      <c r="E76" s="131" t="e">
        <f>+VLOOKUP(A76,#REF!,3,0)</f>
        <v>#REF!</v>
      </c>
      <c r="F76" s="131" t="e">
        <f>+VLOOKUP(A76,#REF!,10,0)</f>
        <v>#REF!</v>
      </c>
      <c r="G76" s="131" t="e">
        <f>+VLOOKUP(A76,#REF!,13,0)</f>
        <v>#REF!</v>
      </c>
      <c r="H76" s="133" t="e">
        <f t="shared" si="16"/>
        <v>#REF!</v>
      </c>
      <c r="I76" s="131" t="e">
        <f t="shared" si="14"/>
        <v>#REF!</v>
      </c>
      <c r="J76" s="131" t="s">
        <v>333</v>
      </c>
      <c r="K76" s="131" t="e">
        <f>+IF(ISBLANK(VLOOKUP(A76,#REF!,5,0)),"",VLOOKUP(A76,#REF!,5,0))</f>
        <v>#REF!</v>
      </c>
      <c r="L76" s="131" t="e">
        <f>+IF(ISBLANK(VLOOKUP(A76,#REF!,9,0)),"",VLOOKUP(A76,#REF!,9,0))</f>
        <v>#REF!</v>
      </c>
      <c r="M76" s="131" t="e">
        <f t="shared" si="15"/>
        <v>#REF!</v>
      </c>
      <c r="N76" s="131" t="e">
        <f t="shared" si="17"/>
        <v>#REF!</v>
      </c>
      <c r="O76" s="131"/>
      <c r="P76" s="131"/>
    </row>
    <row r="77" spans="1:16" x14ac:dyDescent="0.25">
      <c r="A77" s="131" t="s">
        <v>336</v>
      </c>
      <c r="B77" s="131" t="str">
        <f t="shared" si="9"/>
        <v>17</v>
      </c>
      <c r="C77" s="131" t="e">
        <f>+MID(VLOOKUP(A77,#REF!,2,0),6,LEN(VLOOKUP(A77,#REF!,2,0))-6)</f>
        <v>#REF!</v>
      </c>
      <c r="D77" s="131" t="s">
        <v>326</v>
      </c>
      <c r="E77" s="131" t="e">
        <f>+VLOOKUP(A77,#REF!,3,0)</f>
        <v>#REF!</v>
      </c>
      <c r="F77" s="131" t="e">
        <f>+VLOOKUP(A77,#REF!,10,0)</f>
        <v>#REF!</v>
      </c>
      <c r="G77" s="131" t="e">
        <f>+VLOOKUP(A77,#REF!,13,0)</f>
        <v>#REF!</v>
      </c>
      <c r="H77" s="133" t="e">
        <f t="shared" si="16"/>
        <v>#REF!</v>
      </c>
      <c r="I77" s="131" t="e">
        <f t="shared" si="14"/>
        <v>#REF!</v>
      </c>
      <c r="J77" s="131" t="s">
        <v>333</v>
      </c>
      <c r="K77" s="131" t="e">
        <f>+IF(ISBLANK(VLOOKUP(A77,#REF!,5,0)),"",VLOOKUP(A77,#REF!,5,0))</f>
        <v>#REF!</v>
      </c>
      <c r="L77" s="131" t="e">
        <f>+IF(ISBLANK(VLOOKUP(A77,#REF!,9,0)),"",VLOOKUP(A77,#REF!,9,0))</f>
        <v>#REF!</v>
      </c>
      <c r="M77" s="131" t="e">
        <f t="shared" si="15"/>
        <v>#REF!</v>
      </c>
      <c r="N77" s="131" t="e">
        <f t="shared" si="17"/>
        <v>#REF!</v>
      </c>
      <c r="O77" s="131"/>
      <c r="P77" s="131"/>
    </row>
    <row r="78" spans="1:16" x14ac:dyDescent="0.25">
      <c r="A78" s="131" t="s">
        <v>337</v>
      </c>
      <c r="B78" s="131" t="str">
        <f t="shared" si="9"/>
        <v>17</v>
      </c>
      <c r="C78" s="131" t="e">
        <f>+MID(VLOOKUP(A78,#REF!,2,0),6,LEN(VLOOKUP(A78,#REF!,2,0))-6)</f>
        <v>#REF!</v>
      </c>
      <c r="D78" s="131" t="s">
        <v>326</v>
      </c>
      <c r="E78" s="131" t="e">
        <f>+VLOOKUP(A78,#REF!,3,0)</f>
        <v>#REF!</v>
      </c>
      <c r="F78" s="131" t="e">
        <f>+VLOOKUP(A78,#REF!,10,0)</f>
        <v>#REF!</v>
      </c>
      <c r="G78" s="131" t="e">
        <f>+VLOOKUP(A78,#REF!,13,0)</f>
        <v>#REF!</v>
      </c>
      <c r="H78" s="133" t="e">
        <f t="shared" si="16"/>
        <v>#REF!</v>
      </c>
      <c r="I78" s="131" t="e">
        <f t="shared" si="14"/>
        <v>#REF!</v>
      </c>
      <c r="J78" s="131" t="s">
        <v>333</v>
      </c>
      <c r="K78" s="131" t="e">
        <f>+IF(ISBLANK(VLOOKUP(A78,#REF!,5,0)),"",VLOOKUP(A78,#REF!,5,0))</f>
        <v>#REF!</v>
      </c>
      <c r="L78" s="131" t="e">
        <f>+IF(ISBLANK(VLOOKUP(A78,#REF!,9,0)),"",VLOOKUP(A78,#REF!,9,0))</f>
        <v>#REF!</v>
      </c>
      <c r="M78" s="131" t="e">
        <f t="shared" si="15"/>
        <v>#REF!</v>
      </c>
      <c r="N78" s="131" t="e">
        <f t="shared" si="17"/>
        <v>#REF!</v>
      </c>
      <c r="O78" s="131"/>
      <c r="P78" s="131"/>
    </row>
    <row r="79" spans="1:16" x14ac:dyDescent="0.25">
      <c r="A79" s="131" t="s">
        <v>338</v>
      </c>
      <c r="B79" s="131" t="str">
        <f t="shared" si="9"/>
        <v>17</v>
      </c>
      <c r="C79" s="131" t="e">
        <f>+MID(VLOOKUP(A79,#REF!,2,0),6,LEN(VLOOKUP(A79,#REF!,2,0))-6)</f>
        <v>#REF!</v>
      </c>
      <c r="D79" s="131" t="s">
        <v>326</v>
      </c>
      <c r="E79" s="131" t="e">
        <f>+VLOOKUP(A79,#REF!,3,0)</f>
        <v>#REF!</v>
      </c>
      <c r="F79" s="131" t="e">
        <f>+VLOOKUP(A79,#REF!,10,0)</f>
        <v>#REF!</v>
      </c>
      <c r="G79" s="131" t="e">
        <f>+VLOOKUP(A79,#REF!,13,0)</f>
        <v>#REF!</v>
      </c>
      <c r="H79" s="133" t="e">
        <f t="shared" si="16"/>
        <v>#REF!</v>
      </c>
      <c r="I79" s="131" t="e">
        <f t="shared" si="14"/>
        <v>#REF!</v>
      </c>
      <c r="J79" s="131" t="s">
        <v>333</v>
      </c>
      <c r="K79" s="131" t="e">
        <f>+IF(ISBLANK(VLOOKUP(A79,#REF!,5,0)),"",VLOOKUP(A79,#REF!,5,0))</f>
        <v>#REF!</v>
      </c>
      <c r="L79" s="131" t="e">
        <f>+IF(ISBLANK(VLOOKUP(A79,#REF!,9,0)),"",VLOOKUP(A79,#REF!,9,0))</f>
        <v>#REF!</v>
      </c>
      <c r="M79" s="131" t="e">
        <f t="shared" si="15"/>
        <v>#REF!</v>
      </c>
      <c r="N79" s="131" t="e">
        <f t="shared" si="17"/>
        <v>#REF!</v>
      </c>
      <c r="O79" s="131"/>
      <c r="P79" s="131"/>
    </row>
    <row r="80" spans="1:16" x14ac:dyDescent="0.25">
      <c r="A80" s="131" t="s">
        <v>339</v>
      </c>
      <c r="B80" s="131" t="str">
        <f t="shared" si="9"/>
        <v>17</v>
      </c>
      <c r="C80" s="131" t="e">
        <f>+MID(VLOOKUP(A80,#REF!,2,0),6,LEN(VLOOKUP(A80,#REF!,2,0))-6)</f>
        <v>#REF!</v>
      </c>
      <c r="D80" s="131" t="s">
        <v>326</v>
      </c>
      <c r="E80" s="131" t="e">
        <f>+VLOOKUP(A80,#REF!,3,0)</f>
        <v>#REF!</v>
      </c>
      <c r="F80" s="131" t="e">
        <f>+VLOOKUP(A80,#REF!,10,0)</f>
        <v>#REF!</v>
      </c>
      <c r="G80" s="131" t="e">
        <f>+VLOOKUP(A80,#REF!,13,0)</f>
        <v>#REF!</v>
      </c>
      <c r="H80" s="133" t="e">
        <f t="shared" si="16"/>
        <v>#REF!</v>
      </c>
      <c r="I80" s="131" t="e">
        <f t="shared" si="14"/>
        <v>#REF!</v>
      </c>
      <c r="J80" s="131" t="s">
        <v>333</v>
      </c>
      <c r="K80" s="131" t="e">
        <f>+IF(ISBLANK(VLOOKUP(A80,#REF!,5,0)),"",VLOOKUP(A80,#REF!,5,0))</f>
        <v>#REF!</v>
      </c>
      <c r="L80" s="131" t="e">
        <f>+IF(ISBLANK(VLOOKUP(A80,#REF!,9,0)),"",VLOOKUP(A80,#REF!,9,0))</f>
        <v>#REF!</v>
      </c>
      <c r="M80" s="131" t="e">
        <f t="shared" si="15"/>
        <v>#REF!</v>
      </c>
      <c r="N80" s="131" t="e">
        <f t="shared" si="17"/>
        <v>#REF!</v>
      </c>
      <c r="O80" s="131"/>
      <c r="P80" s="131"/>
    </row>
    <row r="81" spans="1:16" x14ac:dyDescent="0.25">
      <c r="A81" s="131" t="s">
        <v>340</v>
      </c>
      <c r="B81" s="131" t="str">
        <f t="shared" si="9"/>
        <v>17</v>
      </c>
      <c r="C81" s="131" t="e">
        <f>+MID(VLOOKUP(A81,#REF!,2,0),6,LEN(VLOOKUP(A81,#REF!,2,0))-6)</f>
        <v>#REF!</v>
      </c>
      <c r="D81" s="131" t="s">
        <v>326</v>
      </c>
      <c r="E81" s="131" t="e">
        <f>+VLOOKUP(A81,#REF!,3,0)</f>
        <v>#REF!</v>
      </c>
      <c r="F81" s="131" t="e">
        <f>+VLOOKUP(A81,#REF!,10,0)</f>
        <v>#REF!</v>
      </c>
      <c r="G81" s="131" t="e">
        <f>+VLOOKUP(A81,#REF!,13,0)</f>
        <v>#REF!</v>
      </c>
      <c r="H81" s="133" t="e">
        <f t="shared" si="16"/>
        <v>#REF!</v>
      </c>
      <c r="I81" s="131" t="e">
        <f t="shared" si="14"/>
        <v>#REF!</v>
      </c>
      <c r="J81" s="131" t="s">
        <v>333</v>
      </c>
      <c r="K81" s="131" t="e">
        <f>+IF(ISBLANK(VLOOKUP(A81,#REF!,5,0)),"",VLOOKUP(A81,#REF!,5,0))</f>
        <v>#REF!</v>
      </c>
      <c r="L81" s="131" t="e">
        <f>+IF(ISBLANK(VLOOKUP(A81,#REF!,9,0)),"",VLOOKUP(A81,#REF!,9,0))</f>
        <v>#REF!</v>
      </c>
      <c r="M81" s="131" t="e">
        <f t="shared" si="15"/>
        <v>#REF!</v>
      </c>
      <c r="N81" s="131" t="e">
        <f t="shared" si="17"/>
        <v>#REF!</v>
      </c>
      <c r="O81" s="131"/>
      <c r="P81" s="131"/>
    </row>
    <row r="82" spans="1:16" x14ac:dyDescent="0.25">
      <c r="A82" s="131" t="s">
        <v>341</v>
      </c>
      <c r="B82" s="131" t="str">
        <f t="shared" si="9"/>
        <v>17</v>
      </c>
      <c r="C82" s="131" t="e">
        <f>+MID(VLOOKUP(A82,#REF!,2,0),6,LEN(VLOOKUP(A82,#REF!,2,0))-6)</f>
        <v>#REF!</v>
      </c>
      <c r="D82" s="131" t="s">
        <v>326</v>
      </c>
      <c r="E82" s="131" t="e">
        <f>+VLOOKUP(A82,#REF!,3,0)</f>
        <v>#REF!</v>
      </c>
      <c r="F82" s="131" t="e">
        <f>+VLOOKUP(A82,#REF!,10,0)</f>
        <v>#REF!</v>
      </c>
      <c r="G82" s="131" t="e">
        <f>+VLOOKUP(A82,#REF!,13,0)</f>
        <v>#REF!</v>
      </c>
      <c r="H82" s="133" t="e">
        <f t="shared" si="16"/>
        <v>#REF!</v>
      </c>
      <c r="I82" s="131" t="e">
        <f t="shared" si="14"/>
        <v>#REF!</v>
      </c>
      <c r="J82" s="131" t="s">
        <v>333</v>
      </c>
      <c r="K82" s="131" t="e">
        <f>+IF(ISBLANK(VLOOKUP(A82,#REF!,5,0)),"",VLOOKUP(A82,#REF!,5,0))</f>
        <v>#REF!</v>
      </c>
      <c r="L82" s="131" t="e">
        <f>+IF(ISBLANK(VLOOKUP(A82,#REF!,9,0)),"",VLOOKUP(A82,#REF!,9,0))</f>
        <v>#REF!</v>
      </c>
      <c r="M82" s="131" t="e">
        <f t="shared" si="15"/>
        <v>#REF!</v>
      </c>
      <c r="N82" s="131" t="e">
        <f t="shared" si="17"/>
        <v>#REF!</v>
      </c>
      <c r="O82" s="131"/>
      <c r="P82" s="131"/>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Instructivo</vt:lpstr>
      <vt:lpstr>Definiciones</vt:lpstr>
      <vt:lpstr>Ambiente de Control</vt:lpstr>
      <vt:lpstr>Evaluación de riesgos</vt:lpstr>
      <vt:lpstr>Conclusiones</vt:lpstr>
      <vt:lpstr>Hoja1</vt:lpstr>
    </vt:vector>
  </TitlesOfParts>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PAGAFX</cp:lastModifiedBy>
  <cp:revision/>
  <dcterms:created xsi:type="dcterms:W3CDTF">2010-10-04T16:34:45Z</dcterms:created>
  <dcterms:modified xsi:type="dcterms:W3CDTF">2021-01-29T17:24:52Z</dcterms:modified>
</cp:coreProperties>
</file>